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dnik032\Desktop\Kemipol 2017\"/>
    </mc:Choice>
  </mc:AlternateContent>
  <bookViews>
    <workbookView xWindow="120" yWindow="48" windowWidth="15270" windowHeight="7998" firstSheet="2" activeTab="2" xr2:uid="{00000000-000D-0000-FFFF-FFFF00000000}"/>
  </bookViews>
  <sheets>
    <sheet name="OPIS ZADANIA" sheetId="11" state="hidden" r:id="rId1"/>
    <sheet name="TABELA WYNIKÓW" sheetId="12" state="hidden" r:id="rId2"/>
    <sheet name="MODEL PODSTAWOWY)" sheetId="13" r:id="rId3"/>
    <sheet name="MODEL DO ĆWICZEŃ" sheetId="4" r:id="rId4"/>
    <sheet name="PIERWOWZÓR" sheetId="1" state="hidden" r:id="rId5"/>
    <sheet name="Arkusz3" sheetId="3" r:id="rId6"/>
  </sheets>
  <definedNames>
    <definedName name="_xlnm.Print_Area" localSheetId="0">'OPIS ZADANIA'!$A$1:$I$24</definedName>
    <definedName name="_xlnm.Print_Area" localSheetId="1">'TABELA WYNIKÓW'!$A$1:$G$15</definedName>
  </definedNames>
  <calcPr calcId="171027"/>
  <fileRecoveryPr autoRecover="0"/>
</workbook>
</file>

<file path=xl/calcChain.xml><?xml version="1.0" encoding="utf-8"?>
<calcChain xmlns="http://schemas.openxmlformats.org/spreadsheetml/2006/main">
  <c r="D8" i="4" l="1"/>
  <c r="H53" i="13"/>
  <c r="G33" i="13"/>
  <c r="C21" i="13"/>
  <c r="I21" i="13" s="1"/>
  <c r="M14" i="13"/>
  <c r="M16" i="13" s="1"/>
  <c r="H10" i="13"/>
  <c r="F10" i="13"/>
  <c r="E10" i="13"/>
  <c r="D10" i="13"/>
  <c r="H9" i="13"/>
  <c r="F9" i="13"/>
  <c r="E9" i="13"/>
  <c r="D9" i="13"/>
  <c r="D8" i="13"/>
  <c r="F7" i="13"/>
  <c r="F8" i="13" s="1"/>
  <c r="G8" i="13" s="1"/>
  <c r="F21" i="13" s="1"/>
  <c r="E7" i="13"/>
  <c r="E5" i="13" s="1"/>
  <c r="D7" i="13"/>
  <c r="F6" i="13"/>
  <c r="G6" i="13" s="1"/>
  <c r="G5" i="13"/>
  <c r="F5" i="13"/>
  <c r="D6" i="13" l="1"/>
  <c r="D5" i="13"/>
  <c r="E8" i="13"/>
  <c r="F20" i="13"/>
  <c r="F19" i="13"/>
  <c r="G7" i="13"/>
  <c r="H6" i="13" s="1"/>
  <c r="E6" i="13"/>
  <c r="G21" i="13"/>
  <c r="C20" i="13" l="1"/>
  <c r="G20" i="13"/>
  <c r="H20" i="13" s="1"/>
  <c r="H24" i="13" s="1"/>
  <c r="F24" i="13" s="1"/>
  <c r="K21" i="13"/>
  <c r="H21" i="13"/>
  <c r="H25" i="13" s="1"/>
  <c r="F25" i="13" s="1"/>
  <c r="H5" i="13"/>
  <c r="C19" i="13"/>
  <c r="G19" i="13"/>
  <c r="F22" i="13"/>
  <c r="L20" i="13" s="1"/>
  <c r="G24" i="13" l="1"/>
  <c r="G29" i="13" s="1"/>
  <c r="F29" i="13"/>
  <c r="G22" i="13"/>
  <c r="K19" i="13"/>
  <c r="I19" i="13"/>
  <c r="C22" i="13"/>
  <c r="E29" i="13"/>
  <c r="K20" i="13"/>
  <c r="H19" i="13"/>
  <c r="J21" i="13"/>
  <c r="F14" i="13"/>
  <c r="L19" i="13"/>
  <c r="D22" i="13"/>
  <c r="L21" i="13"/>
  <c r="G25" i="13"/>
  <c r="F30" i="13"/>
  <c r="I20" i="13"/>
  <c r="I24" i="13" l="1"/>
  <c r="C24" i="13" s="1"/>
  <c r="J30" i="13"/>
  <c r="J25" i="13"/>
  <c r="K25" i="13" s="1"/>
  <c r="J19" i="13"/>
  <c r="F12" i="13"/>
  <c r="K22" i="13"/>
  <c r="H22" i="13"/>
  <c r="H23" i="13"/>
  <c r="D37" i="13"/>
  <c r="E30" i="13"/>
  <c r="I25" i="13"/>
  <c r="G30" i="13"/>
  <c r="K30" i="13" s="1"/>
  <c r="L22" i="13"/>
  <c r="F13" i="13"/>
  <c r="J20" i="13"/>
  <c r="I22" i="13"/>
  <c r="E22" i="13"/>
  <c r="E37" i="13"/>
  <c r="C25" i="13" l="1"/>
  <c r="I30" i="13"/>
  <c r="E15" i="13"/>
  <c r="F15" i="13"/>
  <c r="J22" i="13"/>
  <c r="J29" i="13"/>
  <c r="K29" i="13" s="1"/>
  <c r="J24" i="13"/>
  <c r="K24" i="13" s="1"/>
  <c r="F23" i="13"/>
  <c r="H26" i="13"/>
  <c r="H31" i="13" s="1"/>
  <c r="C29" i="13"/>
  <c r="D24" i="13"/>
  <c r="D29" i="13" s="1"/>
  <c r="N30" i="13"/>
  <c r="L30" i="13"/>
  <c r="J23" i="13"/>
  <c r="J28" i="13"/>
  <c r="I29" i="13"/>
  <c r="H27" i="13" l="1"/>
  <c r="N29" i="13"/>
  <c r="L29" i="13"/>
  <c r="F26" i="13"/>
  <c r="G23" i="13"/>
  <c r="F28" i="13"/>
  <c r="M30" i="13"/>
  <c r="C30" i="13"/>
  <c r="D25" i="13"/>
  <c r="D30" i="13" s="1"/>
  <c r="M29" i="13" l="1"/>
  <c r="F27" i="13"/>
  <c r="G26" i="13"/>
  <c r="G28" i="13"/>
  <c r="K28" i="13" s="1"/>
  <c r="E28" i="13"/>
  <c r="I23" i="13"/>
  <c r="K23" i="13"/>
  <c r="K26" i="13" s="1"/>
  <c r="I26" i="13" l="1"/>
  <c r="I27" i="13" s="1"/>
  <c r="C23" i="13"/>
  <c r="I28" i="13"/>
  <c r="L28" i="13"/>
  <c r="K27" i="13"/>
  <c r="N28" i="13"/>
  <c r="N27" i="13" s="1"/>
  <c r="J26" i="13"/>
  <c r="K31" i="13"/>
  <c r="G31" i="13"/>
  <c r="E26" i="13"/>
  <c r="E27" i="13"/>
  <c r="G27" i="13"/>
  <c r="J31" i="13" l="1"/>
  <c r="D38" i="13"/>
  <c r="N33" i="13"/>
  <c r="N32" i="13"/>
  <c r="G34" i="13"/>
  <c r="N31" i="13"/>
  <c r="C26" i="13"/>
  <c r="C28" i="13"/>
  <c r="D23" i="13"/>
  <c r="D28" i="13" s="1"/>
  <c r="M28" i="13"/>
  <c r="L27" i="13"/>
  <c r="F31" i="13"/>
  <c r="C31" i="13" s="1"/>
  <c r="N15" i="13" s="1"/>
  <c r="H54" i="13"/>
  <c r="J27" i="13"/>
  <c r="N36" i="13" l="1"/>
  <c r="I31" i="13"/>
  <c r="C27" i="13"/>
  <c r="D26" i="13"/>
  <c r="D27" i="13" s="1"/>
  <c r="E31" i="13"/>
  <c r="M27" i="13"/>
  <c r="I37" i="13"/>
  <c r="O27" i="13"/>
  <c r="M21" i="13"/>
  <c r="M20" i="13"/>
  <c r="M19" i="13"/>
  <c r="N34" i="13"/>
  <c r="N35" i="13" s="1"/>
  <c r="L31" i="13"/>
  <c r="M22" i="13" l="1"/>
  <c r="H9" i="4" l="1"/>
  <c r="M14" i="4" l="1"/>
  <c r="H10" i="4" l="1"/>
  <c r="F7" i="4"/>
  <c r="F8" i="4" s="1"/>
  <c r="F5" i="4" l="1"/>
  <c r="F6" i="4"/>
  <c r="H53" i="4"/>
  <c r="F10" i="4"/>
  <c r="F9" i="4" s="1"/>
  <c r="G33" i="4" s="1"/>
  <c r="E10" i="4"/>
  <c r="D9" i="4"/>
  <c r="F21" i="4"/>
  <c r="C21" i="4" s="1"/>
  <c r="I21" i="4" s="1"/>
  <c r="D10" i="4"/>
  <c r="E9" i="4"/>
  <c r="D7" i="4"/>
  <c r="E7" i="4"/>
  <c r="E6" i="4" s="1"/>
  <c r="F24" i="1"/>
  <c r="F13" i="1"/>
  <c r="L12" i="1" s="1"/>
  <c r="C12" i="1"/>
  <c r="C11" i="1"/>
  <c r="I11" i="1" s="1"/>
  <c r="C10" i="1"/>
  <c r="I10" i="1" s="1"/>
  <c r="G12" i="1"/>
  <c r="H12" i="1" s="1"/>
  <c r="H16" i="1" s="1"/>
  <c r="F16" i="1" s="1"/>
  <c r="G16" i="1" s="1"/>
  <c r="G11" i="1"/>
  <c r="H11" i="1" s="1"/>
  <c r="H15" i="1" s="1"/>
  <c r="F15" i="1" s="1"/>
  <c r="F20" i="1" s="1"/>
  <c r="G10" i="1"/>
  <c r="H10" i="1" s="1"/>
  <c r="G7" i="4" l="1"/>
  <c r="E5" i="4"/>
  <c r="G21" i="4"/>
  <c r="H21" i="4" s="1"/>
  <c r="H25" i="4" s="1"/>
  <c r="D5" i="4"/>
  <c r="E8" i="4"/>
  <c r="D6" i="4"/>
  <c r="K12" i="1"/>
  <c r="F6" i="1" s="1"/>
  <c r="K10" i="1"/>
  <c r="K11" i="1"/>
  <c r="H20" i="1"/>
  <c r="L10" i="1"/>
  <c r="H21" i="1"/>
  <c r="L11" i="1"/>
  <c r="G21" i="1"/>
  <c r="E21" i="1"/>
  <c r="F21" i="1"/>
  <c r="H13" i="1"/>
  <c r="H14" i="1"/>
  <c r="H19" i="1" s="1"/>
  <c r="G15" i="1"/>
  <c r="G13" i="1"/>
  <c r="I12" i="1"/>
  <c r="C13" i="1"/>
  <c r="K21" i="4" l="1"/>
  <c r="F25" i="4"/>
  <c r="L13" i="1"/>
  <c r="F5" i="1"/>
  <c r="J11" i="1"/>
  <c r="J15" i="1" s="1"/>
  <c r="F4" i="1"/>
  <c r="J10" i="1"/>
  <c r="J19" i="1" s="1"/>
  <c r="H17" i="1"/>
  <c r="H22" i="1" s="1"/>
  <c r="G20" i="1"/>
  <c r="E20" i="1"/>
  <c r="I13" i="1"/>
  <c r="E13" i="1"/>
  <c r="D13" i="1"/>
  <c r="F14" i="1"/>
  <c r="F19" i="1" s="1"/>
  <c r="I16" i="1"/>
  <c r="C16" i="1" s="1"/>
  <c r="I15" i="1"/>
  <c r="I20" i="1" s="1"/>
  <c r="J21" i="4" l="1"/>
  <c r="J25" i="4" s="1"/>
  <c r="F14" i="4"/>
  <c r="H6" i="4"/>
  <c r="F20" i="4"/>
  <c r="F19" i="4"/>
  <c r="F30" i="4"/>
  <c r="G25" i="4"/>
  <c r="J20" i="1"/>
  <c r="K20" i="1" s="1"/>
  <c r="J14" i="1"/>
  <c r="H18" i="1"/>
  <c r="D16" i="1"/>
  <c r="D21" i="1" s="1"/>
  <c r="C21" i="1"/>
  <c r="I21" i="1"/>
  <c r="C15" i="1"/>
  <c r="G14" i="1"/>
  <c r="F17" i="1"/>
  <c r="K25" i="4" l="1"/>
  <c r="J30" i="4"/>
  <c r="H5" i="4"/>
  <c r="G20" i="4"/>
  <c r="K20" i="4" s="1"/>
  <c r="F13" i="4" s="1"/>
  <c r="C20" i="4"/>
  <c r="I20" i="4" s="1"/>
  <c r="C19" i="4"/>
  <c r="G19" i="4"/>
  <c r="F22" i="4"/>
  <c r="L20" i="4" s="1"/>
  <c r="G30" i="4"/>
  <c r="I25" i="4"/>
  <c r="E30" i="4"/>
  <c r="L20" i="1"/>
  <c r="M20" i="1" s="1"/>
  <c r="N20" i="1"/>
  <c r="K15" i="1"/>
  <c r="F18" i="1"/>
  <c r="F22" i="1"/>
  <c r="C22" i="1" s="1"/>
  <c r="I22" i="1" s="1"/>
  <c r="E19" i="1"/>
  <c r="G19" i="1"/>
  <c r="K19" i="1" s="1"/>
  <c r="D15" i="1"/>
  <c r="D20" i="1" s="1"/>
  <c r="C20" i="1"/>
  <c r="I14" i="1"/>
  <c r="I19" i="1" s="1"/>
  <c r="G17" i="1"/>
  <c r="G22" i="1" s="1"/>
  <c r="K30" i="4" l="1"/>
  <c r="L30" i="4" s="1"/>
  <c r="J20" i="4"/>
  <c r="J24" i="4" s="1"/>
  <c r="K19" i="4"/>
  <c r="G22" i="4"/>
  <c r="L21" i="4"/>
  <c r="L19" i="4"/>
  <c r="I19" i="4"/>
  <c r="I22" i="4" s="1"/>
  <c r="C22" i="4"/>
  <c r="H19" i="4"/>
  <c r="H23" i="4" s="1"/>
  <c r="H20" i="4"/>
  <c r="H24" i="4" s="1"/>
  <c r="C25" i="4"/>
  <c r="I30" i="4"/>
  <c r="L19" i="1"/>
  <c r="N19" i="1"/>
  <c r="K14" i="1"/>
  <c r="G18" i="1"/>
  <c r="E18" i="1"/>
  <c r="E17" i="1"/>
  <c r="E22" i="1" s="1"/>
  <c r="C14" i="1"/>
  <c r="C19" i="1" s="1"/>
  <c r="I17" i="1"/>
  <c r="I18" i="1" s="1"/>
  <c r="H26" i="4" l="1"/>
  <c r="N30" i="4"/>
  <c r="J29" i="4"/>
  <c r="D22" i="4"/>
  <c r="D37" i="4"/>
  <c r="E22" i="4"/>
  <c r="E37" i="4"/>
  <c r="L22" i="4"/>
  <c r="H22" i="4"/>
  <c r="F12" i="4"/>
  <c r="J19" i="4"/>
  <c r="J23" i="4" s="1"/>
  <c r="K22" i="4"/>
  <c r="M30" i="4"/>
  <c r="C30" i="4"/>
  <c r="D25" i="4"/>
  <c r="D30" i="4" s="1"/>
  <c r="M19" i="1"/>
  <c r="D14" i="1"/>
  <c r="D19" i="1" s="1"/>
  <c r="C17" i="1"/>
  <c r="C18" i="1" s="1"/>
  <c r="J22" i="4" l="1"/>
  <c r="J28" i="4"/>
  <c r="F15" i="4"/>
  <c r="E15" i="4"/>
  <c r="D17" i="1"/>
  <c r="D18" i="1" s="1"/>
  <c r="J12" i="1" l="1"/>
  <c r="J16" i="1" s="1"/>
  <c r="K13" i="1"/>
  <c r="J13" i="1" s="1"/>
  <c r="F7" i="1" l="1"/>
  <c r="E7" i="1"/>
  <c r="J21" i="1"/>
  <c r="K21" i="1" s="1"/>
  <c r="N21" i="1" l="1"/>
  <c r="N18" i="1" s="1"/>
  <c r="G25" i="1" s="1"/>
  <c r="L21" i="1"/>
  <c r="L18" i="1" s="1"/>
  <c r="K18" i="1"/>
  <c r="K16" i="1"/>
  <c r="N22" i="1" l="1"/>
  <c r="N23" i="1"/>
  <c r="N24" i="1"/>
  <c r="K22" i="1"/>
  <c r="L22" i="1" s="1"/>
  <c r="J18" i="1"/>
  <c r="K17" i="1"/>
  <c r="J17" i="1" s="1"/>
  <c r="M21" i="1"/>
  <c r="N25" i="1" l="1"/>
  <c r="M18" i="1"/>
  <c r="M11" i="1"/>
  <c r="M10" i="1"/>
  <c r="J22" i="1"/>
  <c r="M12" i="1"/>
  <c r="M13" i="1" l="1"/>
  <c r="F24" i="4" l="1"/>
  <c r="F29" i="4" s="1"/>
  <c r="G24" i="4" l="1"/>
  <c r="E29" i="4" s="1"/>
  <c r="K24" i="4" l="1"/>
  <c r="G29" i="4"/>
  <c r="K29" i="4" s="1"/>
  <c r="I24" i="4"/>
  <c r="C24" i="4" s="1"/>
  <c r="F23" i="4"/>
  <c r="F28" i="4" s="1"/>
  <c r="I29" i="4" l="1"/>
  <c r="N29" i="4"/>
  <c r="L29" i="4"/>
  <c r="M29" i="4" s="1"/>
  <c r="D24" i="4"/>
  <c r="D29" i="4" s="1"/>
  <c r="C29" i="4"/>
  <c r="G23" i="4"/>
  <c r="F26" i="4"/>
  <c r="F27" i="4" l="1"/>
  <c r="E28" i="4"/>
  <c r="K23" i="4"/>
  <c r="K26" i="4" s="1"/>
  <c r="G28" i="4"/>
  <c r="K28" i="4" s="1"/>
  <c r="G26" i="4"/>
  <c r="E26" i="4" s="1"/>
  <c r="I23" i="4"/>
  <c r="C23" i="4" l="1"/>
  <c r="I28" i="4"/>
  <c r="I26" i="4"/>
  <c r="I27" i="4" s="1"/>
  <c r="G31" i="4"/>
  <c r="E27" i="4"/>
  <c r="G27" i="4"/>
  <c r="L28" i="4"/>
  <c r="K27" i="4"/>
  <c r="N28" i="4"/>
  <c r="N27" i="4" s="1"/>
  <c r="K31" i="4"/>
  <c r="J26" i="4"/>
  <c r="M28" i="4" l="1"/>
  <c r="L27" i="4"/>
  <c r="M19" i="4" s="1"/>
  <c r="J31" i="4"/>
  <c r="G34" i="4"/>
  <c r="N31" i="4"/>
  <c r="N33" i="4"/>
  <c r="N32" i="4"/>
  <c r="D38" i="4"/>
  <c r="H54" i="4"/>
  <c r="J27" i="4"/>
  <c r="C26" i="4"/>
  <c r="C28" i="4"/>
  <c r="D23" i="4"/>
  <c r="D28" i="4" s="1"/>
  <c r="C27" i="4" l="1"/>
  <c r="D26" i="4"/>
  <c r="D27" i="4" s="1"/>
  <c r="O27" i="4"/>
  <c r="M20" i="4"/>
  <c r="M27" i="4"/>
  <c r="I37" i="4"/>
  <c r="M21" i="4"/>
  <c r="N34" i="4"/>
  <c r="N35" i="4" s="1"/>
  <c r="M22" i="4" l="1"/>
  <c r="H27" i="4" l="1"/>
  <c r="M16" i="4"/>
  <c r="H31" i="4" s="1"/>
  <c r="F31" i="4" s="1"/>
  <c r="E31" i="4" l="1"/>
  <c r="L31" i="4"/>
  <c r="C31" i="4"/>
  <c r="N15" i="4" s="1"/>
  <c r="I31" i="4" l="1"/>
  <c r="N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Andrzej Wójtowicz</author>
  </authors>
  <commentList>
    <comment ref="D4" authorId="0" shapeId="0" xr:uid="{103FC0CD-B3A2-4E79-BCDF-8B6FC14B1EFF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nie oznacza minimalnej, ale niższą warość w sugerowanym przedziale (dla każdej pozycji liczona odrebnie, nie należy sumować)</t>
        </r>
      </text>
    </comment>
    <comment ref="D5" authorId="0" shapeId="0" xr:uid="{D4EF32B9-1197-4196-99A0-C987DF7DC919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redukcji zawiesiny w osadniku na poziomie do 50% - proporcje OW/ON = 0,4/0,6</t>
        </r>
      </text>
    </comment>
    <comment ref="E5" authorId="0" shapeId="0" xr:uid="{58352D44-4A2F-4357-BA7B-C8BA6E5FDA17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redukcji zawiesiny na poziomie 60-70% proporcja OW/ON może wynieść 0,6/0,4 ale deficyt C może spowodować konieczność dozowania i zwiększenia produkcji jed. ON - przyjęto 0,55</t>
        </r>
      </text>
    </comment>
    <comment ref="D6" authorId="0" shapeId="0" xr:uid="{7B3B2F01-5C12-4E16-BA30-BB1B84E92ACC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długiego wieku osadu na poziomie powyżej 30 dób</t>
        </r>
      </text>
    </comment>
    <comment ref="E6" authorId="0" shapeId="0" xr:uid="{D32114D2-7691-4CDB-BDDA-3377B9BB6168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niski wiek osadu przy duzym zhydrolizowanym ładunku na biologię, </t>
        </r>
      </text>
    </comment>
    <comment ref="D7" authorId="0" shapeId="0" xr:uid="{F9D32388-179B-4D89-9B55-39C295611D84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 dla 60 g s.m./RLMxd</t>
        </r>
      </text>
    </comment>
    <comment ref="E7" authorId="0" shapeId="0" xr:uid="{F86EBE06-42B7-4587-B1D5-90C3F70148AD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wartości 80 g BZT/RLMxd</t>
        </r>
      </text>
    </comment>
    <comment ref="G8" authorId="0" shapeId="0" xr:uid="{8DA3E0CE-DBF4-4830-9415-B3C14CA3E033}">
      <text>
        <r>
          <rPr>
            <b/>
            <sz val="6"/>
            <color indexed="81"/>
            <rFont val="Tahoma"/>
            <family val="2"/>
            <charset val="238"/>
          </rPr>
          <t>Andrzej Wójtowicz:</t>
        </r>
        <r>
          <rPr>
            <sz val="6"/>
            <color indexed="81"/>
            <rFont val="Tahoma"/>
            <family val="2"/>
            <charset val="238"/>
          </rPr>
          <t xml:space="preserve">
jeśli nie stosowana KF wpisz minimalną wartość, np. 0,1 (z uwagi na błędy dzielenia przez 0) </t>
        </r>
      </text>
    </comment>
    <comment ref="D9" authorId="0" shapeId="0" xr:uid="{70B80FBF-3CD1-4F57-B103-BF4779CCBCF3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sieci rozdzielczej, z niskim udziałem przemysłu</t>
        </r>
      </text>
    </comment>
    <comment ref="E9" authorId="0" shapeId="0" xr:uid="{F813DF6A-AF09-47C6-AEB4-714524DD40C8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zlewni z dużym udziałem sieci ogólnospławnej i/lub przemysłu wodochłonnego</t>
        </r>
      </text>
    </comment>
    <comment ref="H9" authorId="0" shapeId="0" xr:uid="{FDD866EC-FF06-4731-B004-5E6C5756099E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sprawdź, czy wielkość stężenia zgadza się danymi laboratoryjnymi twojej oczyszczalni (beż odcieków wewnetrznych) - przyjeto 60 g BZT/RLM</t>
        </r>
      </text>
    </comment>
    <comment ref="D10" authorId="0" shapeId="0" xr:uid="{70F8C3FA-EB4A-4A8A-BB5E-AB77D7F64AED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jednostkowa ilosć zafakturowanych scieków jest zazwyczaj nieco niższa niż jednostkowe zapotrzebowanie na wodę (m.in.. z tytułu bezwrotnego zuzycia wody oraz wiekszej proporcji ładunku do przepływu w sciekach przemysłowych) </t>
        </r>
      </text>
    </comment>
    <comment ref="D11" authorId="0" shapeId="0" xr:uid="{888DA241-FA41-46CE-8F43-6CBBD10F0654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dotyczy ciepła spalania jako maksymalnego potencjału energetycznego (entalpia układu), wartość opałowa stanowi ok. 0,9 tej wartości</t>
        </r>
      </text>
    </comment>
    <comment ref="M15" authorId="0" shapeId="0" xr:uid="{0C168ED0-45D7-4C49-B9F9-33569BE05227}">
      <text>
        <r>
          <rPr>
            <b/>
            <sz val="9"/>
            <color indexed="81"/>
            <rFont val="Tahoma"/>
            <charset val="1"/>
          </rPr>
          <t>Andrzej Wójtowicz:</t>
        </r>
        <r>
          <rPr>
            <sz val="9"/>
            <color indexed="81"/>
            <rFont val="Tahoma"/>
            <charset val="1"/>
          </rPr>
          <t xml:space="preserve">
ZE WZGLĘDU NA CYKLICZNA FORMUŁE WPISAĆ RĘCZNIE WARTOŚĆ W KOLEJNYCH ITERACJACH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Andrzej Wójtowicz</author>
  </authors>
  <commentList>
    <comment ref="D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nie oznacza minimalnej, ale niższą warość w sugerowanym przedziale (dla każdej pozycji liczona odrebnie, nie należy sumować)</t>
        </r>
      </text>
    </comment>
    <comment ref="D5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redukcji zawiesiny w osadniku na poziomie do 50% - proporcje OW/ON = 0,4/0,6</t>
        </r>
      </text>
    </comment>
    <comment ref="E5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redukcji zawiesiny na poziomie 60-70% proporcja OW/ON może wynieść 0,6/0,4 ale deficyt C może spowodować konieczność dozowania i zwiększenia produkcji jed. ON - przyjęto 0,55</t>
        </r>
      </text>
    </comment>
    <comment ref="D6" authorId="0" shapeId="0" xr:uid="{00000000-0006-0000-0900-000004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długiego wieku osadu na poziomie powyżej 30 dób</t>
        </r>
      </text>
    </comment>
    <comment ref="E6" authorId="0" shapeId="0" xr:uid="{00000000-0006-0000-0900-000005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niski wiek osadu przy duzym zhydrolizowanym ładunku na biologię, </t>
        </r>
      </text>
    </comment>
    <comment ref="D7" authorId="0" shapeId="0" xr:uid="{00000000-0006-0000-0900-000006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 dla 60 g s.m./RLMxd</t>
        </r>
      </text>
    </comment>
    <comment ref="E7" authorId="0" shapeId="0" xr:uid="{00000000-0006-0000-0900-000007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wartości 80 g BZT/RLMxd</t>
        </r>
      </text>
    </comment>
    <comment ref="G8" authorId="0" shapeId="0" xr:uid="{00000000-0006-0000-0900-000008000000}">
      <text>
        <r>
          <rPr>
            <b/>
            <sz val="6"/>
            <color indexed="81"/>
            <rFont val="Tahoma"/>
            <family val="2"/>
            <charset val="238"/>
          </rPr>
          <t>Andrzej Wójtowicz:</t>
        </r>
        <r>
          <rPr>
            <sz val="6"/>
            <color indexed="81"/>
            <rFont val="Tahoma"/>
            <family val="2"/>
            <charset val="238"/>
          </rPr>
          <t xml:space="preserve">
jeśli nie stosowana KF wpisz minimalną wartość, np. 0,1 (z uwagi na błędy dzielenia przez 0) </t>
        </r>
      </text>
    </comment>
    <comment ref="D9" authorId="0" shapeId="0" xr:uid="{00000000-0006-0000-0900-000009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sieci rozdzielczej, z niskim udziałem przemysłu</t>
        </r>
      </text>
    </comment>
    <comment ref="E9" authorId="0" shapeId="0" xr:uid="{00000000-0006-0000-0900-00000A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dla zlewni z dużym udziałem sieci ogólnospławnej i/lub przemysłu wodochłonnego</t>
        </r>
      </text>
    </comment>
    <comment ref="H9" authorId="0" shapeId="0" xr:uid="{00000000-0006-0000-0900-00000B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sprawdź, czy wielkość stężenia zgadza się danymi laboratoryjnymi twojej oczyszczalni (beż odcieków wewnetrznych) - przyjeto 60 g BZT/RLM</t>
        </r>
      </text>
    </comment>
    <comment ref="D10" authorId="0" shapeId="0" xr:uid="{00000000-0006-0000-0900-00000C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jednostkowa ilosć zafakturowanych scieków jest zazwyczaj nieco niższa niż jednostkowe zapotrzebowanie na wodę (m.in.. z tytułu bezwrotnego zuzycia wody oraz wiekszej proporcji ładunku do przepływu w sciekach przemysłowych) </t>
        </r>
      </text>
    </comment>
    <comment ref="D11" authorId="0" shapeId="0" xr:uid="{00000000-0006-0000-0900-00000D000000}">
      <text>
        <r>
          <rPr>
            <b/>
            <sz val="9"/>
            <color indexed="81"/>
            <rFont val="Tahoma"/>
            <family val="2"/>
            <charset val="238"/>
          </rPr>
          <t>Andrzej Wójtowicz:</t>
        </r>
        <r>
          <rPr>
            <sz val="9"/>
            <color indexed="81"/>
            <rFont val="Tahoma"/>
            <family val="2"/>
            <charset val="238"/>
          </rPr>
          <t xml:space="preserve">
dotyczy ciepła spalania jako maksymalnego potencjału energetycznego (entalpia układu), wartość opałowa stanowi ok. 0,9 tej wartości</t>
        </r>
      </text>
    </comment>
  </commentList>
</comments>
</file>

<file path=xl/sharedStrings.xml><?xml version="1.0" encoding="utf-8"?>
<sst xmlns="http://schemas.openxmlformats.org/spreadsheetml/2006/main" count="357" uniqueCount="169">
  <si>
    <t>osad wstępny zagęszczony</t>
  </si>
  <si>
    <t>osad nadmierny zagęszczony</t>
  </si>
  <si>
    <t>tłuszcze</t>
  </si>
  <si>
    <t>wstępny po fermentacji</t>
  </si>
  <si>
    <t>nadmierny po fermentacji</t>
  </si>
  <si>
    <t>tłuszcze po fermentacji</t>
  </si>
  <si>
    <t>kW</t>
  </si>
  <si>
    <t>kg s.m.</t>
  </si>
  <si>
    <t>MASA Mg]</t>
  </si>
  <si>
    <r>
      <t>H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>O [Mg]</t>
    </r>
  </si>
  <si>
    <t>kg s.m.min.</t>
  </si>
  <si>
    <t>MJ</t>
  </si>
  <si>
    <t>ENERGIA</t>
  </si>
  <si>
    <t>kg s.m.org.</t>
  </si>
  <si>
    <t>ZREDUKOWANO RAZEM</t>
  </si>
  <si>
    <t>RAZEM OSAD MIESZANY</t>
  </si>
  <si>
    <t>OSAD PRZEFERMENTOWANY</t>
  </si>
  <si>
    <t xml:space="preserve">zredukowany wstępny </t>
  </si>
  <si>
    <t xml:space="preserve">zredukowany nadmierny </t>
  </si>
  <si>
    <t xml:space="preserve">zredukowane tłuszcze </t>
  </si>
  <si>
    <t>SUROWIEC</t>
  </si>
  <si>
    <t>s.m.</t>
  </si>
  <si>
    <t xml:space="preserve"> s.m.org.</t>
  </si>
  <si>
    <t>%  s.m.</t>
  </si>
  <si>
    <r>
      <t>WSKAŹNIK m</t>
    </r>
    <r>
      <rPr>
        <vertAlign val="subscript"/>
        <sz val="9"/>
        <color theme="1"/>
        <rFont val="Arial"/>
        <family val="2"/>
        <charset val="238"/>
      </rPr>
      <t>n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/kg s.m.org.</t>
    </r>
    <r>
      <rPr>
        <vertAlign val="subscript"/>
        <sz val="9"/>
        <color theme="1"/>
        <rFont val="Arial"/>
        <family val="2"/>
        <charset val="238"/>
      </rPr>
      <t>zred.</t>
    </r>
  </si>
  <si>
    <t>OSAD ODWODNIONY</t>
  </si>
  <si>
    <t xml:space="preserve"> [MJ]</t>
  </si>
  <si>
    <t>MJ/kg s.m.org.</t>
  </si>
  <si>
    <t>MJ/kg s.m.</t>
  </si>
  <si>
    <t>1 kg ChZT =</t>
  </si>
  <si>
    <t>kg ChZT/   kg s.m.org.</t>
  </si>
  <si>
    <t>% energii odzyskanej</t>
  </si>
  <si>
    <r>
      <t xml:space="preserve">BIOGAZ 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     23 MJ             [m</t>
    </r>
    <r>
      <rPr>
        <vertAlign val="subscript"/>
        <sz val="9"/>
        <color theme="1"/>
        <rFont val="Arial"/>
        <family val="2"/>
        <charset val="238"/>
      </rPr>
      <t>n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/d]</t>
    </r>
  </si>
  <si>
    <t>osad zmieszany wg proporcji w tabeli</t>
  </si>
  <si>
    <t>ENERGIA ELEKTR.     Z CHP [kWh/d]</t>
  </si>
  <si>
    <r>
      <t>η</t>
    </r>
    <r>
      <rPr>
        <vertAlign val="subscript"/>
        <sz val="11"/>
        <color theme="1"/>
        <rFont val="Czcionka tekstu podstawowego"/>
        <charset val="238"/>
      </rPr>
      <t>el. =</t>
    </r>
  </si>
  <si>
    <t>sprawność elektryczna CHP</t>
  </si>
  <si>
    <t>oszczędność energetyczna</t>
  </si>
  <si>
    <t>zł/d</t>
  </si>
  <si>
    <t>taryfa energetyczna</t>
  </si>
  <si>
    <t>zł/kWh</t>
  </si>
  <si>
    <t>zł/rok</t>
  </si>
  <si>
    <t>autor: Andrzej Wójtowicz</t>
  </si>
  <si>
    <t>RAZEM PRZYCHODY ENERGETYCZNE</t>
  </si>
  <si>
    <t>świadectwa OZE i CHP</t>
  </si>
  <si>
    <t xml:space="preserve">TRANSFER </t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</si>
  <si>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- uwzględniono różnicę miedzy wartością opałową i ciepłem spalania 50/55 MJ/kg = 0,9</t>
    </r>
  </si>
  <si>
    <t>POKRYCIE ZAPOTRZEBOWANIA NE ENERIĘ ELEKRTYCZNĄ Z WŁASNEGO ŹRÓDŁA</t>
  </si>
  <si>
    <r>
      <t>zapotrzebowanie na energię oczyszczalni (0,5 kWh/m</t>
    </r>
    <r>
      <rPr>
        <vertAlign val="superscript"/>
        <sz val="9"/>
        <color theme="1"/>
        <rFont val="Czcionka tekstu podstawowego"/>
        <charset val="238"/>
      </rPr>
      <t>3</t>
    </r>
    <r>
      <rPr>
        <sz val="9"/>
        <color theme="1"/>
        <rFont val="Czcionka tekstu podstawowego"/>
        <family val="2"/>
        <charset val="238"/>
      </rPr>
      <t>)</t>
    </r>
  </si>
  <si>
    <t xml:space="preserve">PRZYKŁADOWY BILANS MASOWO-ENERGETYCZNY OCZYSZCZALNI I WIELKOŚCI OK. 100 000 RLM </t>
  </si>
  <si>
    <t>kWh/d</t>
  </si>
  <si>
    <t>Ćwiczenie</t>
  </si>
  <si>
    <t>po fermetacji</t>
  </si>
  <si>
    <t>b.dobra stabilizacja z AAD bez KF</t>
  </si>
  <si>
    <t>dobra stabilizacja bez KF</t>
  </si>
  <si>
    <t>b.dobra stabilizacja z AAD i KF</t>
  </si>
  <si>
    <t>600 kg s.m./d</t>
  </si>
  <si>
    <t>baseline scenario- słaba stabilizacja bez KF</t>
  </si>
  <si>
    <t>PODAJ WIELKOŚĆ OCZYSZCZALNI</t>
  </si>
  <si>
    <t>RLM</t>
  </si>
  <si>
    <t>osad wstępny</t>
  </si>
  <si>
    <t xml:space="preserve">osad nadmierny </t>
  </si>
  <si>
    <t>PRZYKŁADOWY BILANS MASOWO-ENERGETYCZNY  OCZYSZCZALNI PRACUJĄCEJ METODĄ OSADU CZYNNEGO Z OSADNIKIEM WSTĘPNYM I FERMENTACJĄ</t>
  </si>
  <si>
    <t>dopływ ścieków</t>
  </si>
  <si>
    <t>sprzedaż usług</t>
  </si>
  <si>
    <t>JEDN.</t>
  </si>
  <si>
    <t>tłuszcze max. 10% s.m. osadu sur.</t>
  </si>
  <si>
    <t>DANE WEJŚCIOWE</t>
  </si>
  <si>
    <t xml:space="preserve">SUGEROWANE DANE </t>
  </si>
  <si>
    <t>osad wstępny [OW]</t>
  </si>
  <si>
    <t>osad nadmierny [ON]</t>
  </si>
  <si>
    <t>RAZEM OSAD SUROWY [OS]</t>
  </si>
  <si>
    <t>wartość sugerowana</t>
  </si>
  <si>
    <t>podaj swoją wartość</t>
  </si>
  <si>
    <t>wartość wyższa</t>
  </si>
  <si>
    <t>wartość niższa</t>
  </si>
  <si>
    <r>
      <t>m</t>
    </r>
    <r>
      <rPr>
        <vertAlign val="superscript"/>
        <sz val="9"/>
        <color theme="1"/>
        <rFont val="Czcionka tekstu podstawowego"/>
        <charset val="238"/>
      </rPr>
      <t>3</t>
    </r>
    <r>
      <rPr>
        <sz val="9"/>
        <color theme="1"/>
        <rFont val="Czcionka tekstu podstawowego"/>
        <family val="2"/>
        <charset val="238"/>
      </rPr>
      <t>/d</t>
    </r>
  </si>
  <si>
    <r>
      <t>mgO</t>
    </r>
    <r>
      <rPr>
        <vertAlign val="subscript"/>
        <sz val="9"/>
        <color theme="1"/>
        <rFont val="Czcionka tekstu podstawowego"/>
        <family val="2"/>
        <charset val="238"/>
      </rPr>
      <t>2</t>
    </r>
    <r>
      <rPr>
        <sz val="9"/>
        <color theme="1"/>
        <rFont val="Czcionka tekstu podstawowego"/>
        <family val="2"/>
        <charset val="238"/>
      </rPr>
      <t>/dm</t>
    </r>
    <r>
      <rPr>
        <vertAlign val="superscript"/>
        <sz val="9"/>
        <color theme="1"/>
        <rFont val="Czcionka tekstu podstawowego"/>
        <family val="2"/>
        <charset val="238"/>
      </rPr>
      <t>3</t>
    </r>
  </si>
  <si>
    <r>
      <t>kWh/m</t>
    </r>
    <r>
      <rPr>
        <vertAlign val="superscript"/>
        <sz val="9"/>
        <color theme="1"/>
        <rFont val="Czcionka tekstu podstawowego"/>
        <charset val="238"/>
      </rPr>
      <t>3</t>
    </r>
  </si>
  <si>
    <t>energochłonność obiektu</t>
  </si>
  <si>
    <t>POTENCJAŁ ENERGETYCZNY OSADU</t>
  </si>
  <si>
    <t>wg  HRT [d]</t>
  </si>
  <si>
    <t>KUBATURA FERMENTACJI</t>
  </si>
  <si>
    <r>
      <t>m</t>
    </r>
    <r>
      <rPr>
        <vertAlign val="superscript"/>
        <sz val="9"/>
        <color theme="1"/>
        <rFont val="Czcionka tekstu podstawowego"/>
        <charset val="238"/>
      </rPr>
      <t>3</t>
    </r>
  </si>
  <si>
    <t>wartość rekomendowana</t>
  </si>
  <si>
    <r>
      <t xml:space="preserve">obciążenie </t>
    </r>
    <r>
      <rPr>
        <sz val="8"/>
        <color theme="1"/>
        <rFont val="Arial"/>
        <family val="2"/>
        <charset val="238"/>
      </rPr>
      <t>kg s.m.org.        /m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xd</t>
    </r>
  </si>
  <si>
    <t>rekomendowany wskaźnik techniczny</t>
  </si>
  <si>
    <t>ZBIORNIK BIOGAZU</t>
  </si>
  <si>
    <t>WPŁYW NA TARYFY (BRUTTO)</t>
  </si>
  <si>
    <r>
      <t>zł/m</t>
    </r>
    <r>
      <rPr>
        <vertAlign val="superscript"/>
        <sz val="9"/>
        <color theme="1"/>
        <rFont val="Arial"/>
        <family val="2"/>
        <charset val="238"/>
      </rPr>
      <t>3</t>
    </r>
  </si>
  <si>
    <t>ZAPOTRZEBOWANIE OCZYSZCZALNI NA ENERGIĘ ELEKRYCZNĄ</t>
  </si>
  <si>
    <t xml:space="preserve"> rekomendowana pojemność</t>
  </si>
  <si>
    <t>rekomendowana retencja</t>
  </si>
  <si>
    <t>h</t>
  </si>
  <si>
    <r>
      <t>m</t>
    </r>
    <r>
      <rPr>
        <vertAlign val="superscript"/>
        <sz val="9"/>
        <color theme="1"/>
        <rFont val="Arial"/>
        <family val="2"/>
        <charset val="238"/>
      </rPr>
      <t>3</t>
    </r>
  </si>
  <si>
    <t>kWe</t>
  </si>
  <si>
    <t xml:space="preserve"> PROPONOWANA MOC ZESPOŁU CHP</t>
  </si>
  <si>
    <t>POKRYCIE ZAPOTRZEBOWANIA NE ENERGIĘ ELEKRTYCZNĄ Z WŁASNEGO ŹRÓDŁA</t>
  </si>
  <si>
    <t>bez</t>
  </si>
  <si>
    <t>STOPIEŃ STABILIZACJI</t>
  </si>
  <si>
    <t>REDUKCJA S.M.ORG</t>
  </si>
  <si>
    <t>STOPIEŃ ODWODNIENIA</t>
  </si>
  <si>
    <t>ILOŚĆ OSADU ODWODNIONEGO</t>
  </si>
  <si>
    <t>PRODUKCJA BIOGAZU</t>
  </si>
  <si>
    <t>SAMOWYSTARCZALNOŚĆ ENERGETYCZNA</t>
  </si>
  <si>
    <t>FERMENTACJA W RÓZNYM STOPNIU ZAAWANSOWANIA</t>
  </si>
  <si>
    <t>WSKAŹNIK</t>
  </si>
  <si>
    <t>OW po fermentacji</t>
  </si>
  <si>
    <t>ON po fermentacji</t>
  </si>
  <si>
    <t>KF - stopień przefermentowania</t>
  </si>
  <si>
    <t>ZADANIE:</t>
  </si>
  <si>
    <t xml:space="preserve">Posługując się arkuszem kalkulacyjnym zasumuluj dla dowolnej wielkości oczyszczalni odpowiednie obciażenie węzła stabilizacji beztlenowej masą osadu wstepnego, nadmiernego oraz substratów do kofermentacji. </t>
  </si>
  <si>
    <t>Przyjmij pięć wariantów efektywności procesu fermentacji:</t>
  </si>
  <si>
    <t>BS</t>
  </si>
  <si>
    <t>W1</t>
  </si>
  <si>
    <t>W2</t>
  </si>
  <si>
    <t>W3</t>
  </si>
  <si>
    <t>W4</t>
  </si>
  <si>
    <t>W5</t>
  </si>
  <si>
    <t>słaba stabilizacja na poziomie ok.68% s.m.org. W osadzie przefermentowanym, stopień odwodnienia proponowany na 20%, nie uwzględnia kofermenatcji.</t>
  </si>
  <si>
    <t>średnia stabilizacja na poziomie ok..65% s.m.org. w osadzie przefermentowanym, bez kofermentacji, stopień odwodnienia symuluj na ok.. 20% s.m.</t>
  </si>
  <si>
    <t>dobra stabilizacja na poiomie ok..63% s.m.org. w osadzie przefermetowanym; z kofermentacją - przyjmij ok. 9-10% kosubstratów w odniesieniu do całkowitej masy osadu surowego  stopień odwodnienia przyjmij ok.. 23%</t>
  </si>
  <si>
    <t xml:space="preserve">DANE WYJŚCIOWE ZESTAW W ZAŁĄCZONEJ TABELI </t>
  </si>
  <si>
    <t>- jaki jest wpływ stabilizacji poszczególnych kosunstratów (OW, ON i KF) na produkcję biogazu?</t>
  </si>
  <si>
    <t>- dla jakiego wskaźnika energochłonności oczyszczalni zapewnisz samowystarczalność energetyczną?</t>
  </si>
  <si>
    <t>- jaką rekomendację dasz dla swojego Zarządu w zakresie programów inwestycyjnych, przy założeniu, że masz słaby efekt stabilizacji?</t>
  </si>
  <si>
    <t>- jakie są maksymalne możliwe oszczędności przy optymalnym obciążeniu fermentacji ?</t>
  </si>
  <si>
    <t>- czy będzie opłacalna fermentacja bez świadectw OZE i CHP?</t>
  </si>
  <si>
    <t xml:space="preserve"> W1 - SŁABA STABILIZACJA (ok.. 68% s.m.org.)</t>
  </si>
  <si>
    <t>W5 -  MAKSYMALNY POTENCJAŁ AAD +KF (ok. 58% s.m.org.)</t>
  </si>
  <si>
    <t>W4 - DOBRA STABILIZACJA + KF (ok.. 63% s.m.org.)</t>
  </si>
  <si>
    <t>W3 - DOBRA STABILIZACJA (ok.. 63% s.m.org.)</t>
  </si>
  <si>
    <t>W2 - ŚREDNIA STABILIZACJA (ok.. 65% s.m.org.)</t>
  </si>
  <si>
    <t>wartość ujemna</t>
  </si>
  <si>
    <t xml:space="preserve">ARKUSZ PODSUMOWUJĄCY DLA OCZYSZCZALNI O WIELKOŚCI         </t>
  </si>
  <si>
    <t>kosubstrat</t>
  </si>
  <si>
    <r>
      <rPr>
        <b/>
        <sz val="9"/>
        <color theme="1"/>
        <rFont val="Czcionka tekstu podstawowego"/>
        <charset val="238"/>
      </rPr>
      <t>I ZASADA TERMODYNAMIKI:</t>
    </r>
    <r>
      <rPr>
        <sz val="9"/>
        <color theme="1"/>
        <rFont val="Czcionka tekstu podstawowego"/>
        <family val="2"/>
        <charset val="238"/>
      </rPr>
      <t xml:space="preserve"> Zmiana energii wewnętrznej układu zamkniętego jest równa energii, która przepływa przez jego granice na sposób ciepła lub pracy.</t>
    </r>
  </si>
  <si>
    <t>SUMA PRACY (ZMIANA OBJETOŚCI, REKACJA CHEMICZNA I BILOGICZNA, ITP.</t>
  </si>
  <si>
    <t>GJ</t>
  </si>
  <si>
    <t>z prawa Hessa - zmiana entalpii swobodnej dla reakcji metanu</t>
  </si>
  <si>
    <r>
      <t>∆</t>
    </r>
    <r>
      <rPr>
        <sz val="12.1"/>
        <color theme="1"/>
        <rFont val="Czcionka tekstu podstawowego"/>
        <family val="2"/>
        <charset val="238"/>
      </rPr>
      <t>U = Q + W</t>
    </r>
  </si>
  <si>
    <t>sprawność elektr. CHP</t>
  </si>
  <si>
    <t>baseline scenario - podstawiając do arkusza dane dla stopnia przefermentaowania dla wszystkich osadów i kosubstratów na poziomie 70% -75% s.m.org. po fermentacji uzyskasz podobny wynik jak klasycznej stabilizacji tlenowej, mniejszy stopień ustabilizowania wpływa na poziom odwodnienia mechanicznego - propozycja do przyjęcia 18% s.m.</t>
  </si>
  <si>
    <t>dobra stabilizacja na poziomie ok. 63% s.m.org. w osadzie przefermetowanym; bez kofermentacji; stopień odwodnienia przyjmij ok.. 23%</t>
  </si>
  <si>
    <t>maksymalna granica efetywności stabilizacji beztlenowej na poziomie ok.. 58% s.m.org. W osadzie przefermentowanym, przy zastosowaniu technik AAD wraz kofermentacją, stopień odwodnienia dla tak ustabilizowanego osadu przyjmij na poziomie 25% s.m.</t>
  </si>
  <si>
    <t>Zmieniając pola zaznaczone na niebiesko obserwuj zmianę parametrów wyjsciowych; dla osadu wstepnego  przyjmij większy stopień przefermentowania (np., 58-60% s.m.org.) niż dla nadmiernego (nie wymaga tak znacznego czasu na hydrolizę). Obserwuj dane w róznych miejscach bilansu i  skonfrontuj to z własnymi doświadczeniami. Spróbuj odpowiedzieć na pytania:</t>
  </si>
  <si>
    <t>- jaki jest wpływ stabilizacji na produkcję osadu?</t>
  </si>
  <si>
    <t>BASELINE SCENARIO                    BS                                            bez fermentacji                (70-75% s.m.org.)</t>
  </si>
  <si>
    <t>wpływ na taryfy brutto - bez inwestycji</t>
  </si>
  <si>
    <t>- jaki jest wpływ kofermantacji na efekt energetyczny?</t>
  </si>
  <si>
    <t>- jaki jest wpływ proporcji poszczególnych kosubstratów na produkcj biogazu?</t>
  </si>
  <si>
    <t xml:space="preserve">- przedstaw inne własne spostrzeżenia </t>
  </si>
  <si>
    <t xml:space="preserve">WARTOŚĆ OPAŁOWA OSADU PRZEFERM. </t>
  </si>
  <si>
    <t>JEDNOSTKOWA PRODUKCJA OSADU</t>
  </si>
  <si>
    <t>kg m.m./RLM x a</t>
  </si>
  <si>
    <t>l/RLM</t>
  </si>
  <si>
    <t>wody przypadkowe</t>
  </si>
  <si>
    <t>CaCO3</t>
  </si>
  <si>
    <t>N</t>
  </si>
  <si>
    <t>P</t>
  </si>
  <si>
    <t>inne</t>
  </si>
  <si>
    <t>Razem</t>
  </si>
  <si>
    <t>ładunek</t>
  </si>
  <si>
    <t>m3/d</t>
  </si>
  <si>
    <t>mg/dm3</t>
  </si>
  <si>
    <t>ODCIEKI Z WIRÓWKI</t>
  </si>
  <si>
    <t>udział OW/ON/OS</t>
  </si>
  <si>
    <t>sprawdzenie wg stężeń ChZT na wlocie</t>
  </si>
  <si>
    <t>wskaźnik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</si>
</sst>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vertAlign val="subscript"/>
      <sz val="11"/>
      <color theme="1"/>
      <name val="Czcionka tekstu podstawowego"/>
      <charset val="238"/>
    </font>
    <font>
      <sz val="9"/>
      <color theme="1"/>
      <name val="Czcionka tekstu podstawowego"/>
      <charset val="238"/>
    </font>
    <font>
      <vertAlign val="superscript"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Czcionka tekstu podstawowego"/>
      <family val="2"/>
      <charset val="238"/>
    </font>
    <font>
      <i/>
      <sz val="9"/>
      <color theme="1"/>
      <name val="Czcionka tekstu podstawowego"/>
      <charset val="238"/>
    </font>
    <font>
      <vertAlign val="subscript"/>
      <sz val="9"/>
      <color theme="1"/>
      <name val="Czcionka tekstu podstawowego"/>
      <family val="2"/>
      <charset val="238"/>
    </font>
    <font>
      <vertAlign val="superscript"/>
      <sz val="9"/>
      <color theme="1"/>
      <name val="Czcionka tekstu podstawowego"/>
      <family val="2"/>
      <charset val="238"/>
    </font>
    <font>
      <b/>
      <sz val="6"/>
      <color indexed="81"/>
      <name val="Tahoma"/>
      <family val="2"/>
      <charset val="238"/>
    </font>
    <font>
      <sz val="6"/>
      <color indexed="81"/>
      <name val="Tahoma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2.1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" fontId="2" fillId="3" borderId="0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7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2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0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0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0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3" fontId="15" fillId="0" borderId="18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1" fontId="2" fillId="0" borderId="2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center" vertical="center" wrapText="1"/>
    </xf>
    <xf numFmtId="10" fontId="12" fillId="0" borderId="26" xfId="0" applyNumberFormat="1" applyFont="1" applyBorder="1" applyAlignment="1">
      <alignment horizontal="center" vertical="center" wrapText="1"/>
    </xf>
    <xf numFmtId="166" fontId="5" fillId="0" borderId="26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164" fontId="5" fillId="0" borderId="34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vertical="center"/>
    </xf>
    <xf numFmtId="164" fontId="12" fillId="0" borderId="34" xfId="0" applyNumberFormat="1" applyFont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/>
    </xf>
    <xf numFmtId="10" fontId="5" fillId="0" borderId="34" xfId="0" applyNumberFormat="1" applyFont="1" applyBorder="1" applyAlignment="1">
      <alignment horizontal="center" vertical="center" wrapText="1"/>
    </xf>
    <xf numFmtId="0" fontId="21" fillId="0" borderId="33" xfId="0" applyFont="1" applyFill="1" applyBorder="1" applyAlignment="1">
      <alignment vertical="center"/>
    </xf>
    <xf numFmtId="10" fontId="12" fillId="0" borderId="34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2" fontId="5" fillId="0" borderId="30" xfId="0" applyNumberFormat="1" applyFont="1" applyBorder="1" applyAlignment="1">
      <alignment horizontal="center" vertical="center" wrapText="1"/>
    </xf>
    <xf numFmtId="2" fontId="5" fillId="0" borderId="31" xfId="0" applyNumberFormat="1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/>
    </xf>
    <xf numFmtId="4" fontId="5" fillId="0" borderId="3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5" fillId="0" borderId="0" xfId="0" applyFont="1"/>
    <xf numFmtId="10" fontId="25" fillId="0" borderId="0" xfId="0" applyNumberFormat="1" applyFont="1"/>
    <xf numFmtId="166" fontId="25" fillId="0" borderId="0" xfId="0" applyNumberFormat="1" applyFont="1"/>
    <xf numFmtId="3" fontId="25" fillId="0" borderId="0" xfId="0" applyNumberFormat="1" applyFont="1"/>
    <xf numFmtId="4" fontId="25" fillId="0" borderId="0" xfId="0" applyNumberFormat="1" applyFont="1"/>
    <xf numFmtId="2" fontId="25" fillId="0" borderId="0" xfId="0" applyNumberFormat="1" applyFont="1"/>
    <xf numFmtId="164" fontId="5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0" xfId="0" applyNumberFormat="1" applyFont="1" applyAlignment="1">
      <alignment vertical="center"/>
    </xf>
    <xf numFmtId="49" fontId="25" fillId="0" borderId="0" xfId="0" applyNumberFormat="1" applyFont="1"/>
    <xf numFmtId="0" fontId="2" fillId="0" borderId="39" xfId="0" applyFont="1" applyFill="1" applyBorder="1" applyAlignment="1">
      <alignment vertical="center" wrapText="1"/>
    </xf>
    <xf numFmtId="3" fontId="5" fillId="0" borderId="8" xfId="0" applyNumberFormat="1" applyFont="1" applyBorder="1"/>
    <xf numFmtId="0" fontId="0" fillId="0" borderId="0" xfId="0" applyAlignment="1">
      <alignment horizontal="left" indent="3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5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65" fontId="2" fillId="0" borderId="25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4" fontId="2" fillId="3" borderId="19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3" fontId="2" fillId="0" borderId="4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left" vertical="center"/>
    </xf>
    <xf numFmtId="4" fontId="2" fillId="5" borderId="4" xfId="0" applyNumberFormat="1" applyFont="1" applyFill="1" applyBorder="1" applyAlignment="1">
      <alignment horizontal="center" vertical="center"/>
    </xf>
    <xf numFmtId="4" fontId="2" fillId="5" borderId="5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1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" fontId="12" fillId="0" borderId="31" xfId="0" applyNumberFormat="1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left" vertical="center"/>
    </xf>
    <xf numFmtId="1" fontId="5" fillId="0" borderId="1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8657</xdr:colOff>
      <xdr:row>53</xdr:row>
      <xdr:rowOff>155865</xdr:rowOff>
    </xdr:from>
    <xdr:to>
      <xdr:col>6</xdr:col>
      <xdr:colOff>467590</xdr:colOff>
      <xdr:row>64</xdr:row>
      <xdr:rowOff>60615</xdr:rowOff>
    </xdr:to>
    <xdr:sp macro="" textlink="">
      <xdr:nvSpPr>
        <xdr:cNvPr id="2" name="Schemat blokowy: przygotowanie 1">
          <a:extLst>
            <a:ext uri="{FF2B5EF4-FFF2-40B4-BE49-F238E27FC236}">
              <a16:creationId xmlns:a16="http://schemas.microsoft.com/office/drawing/2014/main" id="{775E5AFA-77DE-4777-8B7D-17A32D826D04}"/>
            </a:ext>
          </a:extLst>
        </xdr:cNvPr>
        <xdr:cNvSpPr/>
      </xdr:nvSpPr>
      <xdr:spPr>
        <a:xfrm>
          <a:off x="4378727" y="10210455"/>
          <a:ext cx="2158193" cy="1840230"/>
        </a:xfrm>
        <a:prstGeom prst="flowChartPreparation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</xdr:col>
      <xdr:colOff>1930978</xdr:colOff>
      <xdr:row>56</xdr:row>
      <xdr:rowOff>103911</xdr:rowOff>
    </xdr:from>
    <xdr:to>
      <xdr:col>3</xdr:col>
      <xdr:colOff>640774</xdr:colOff>
      <xdr:row>61</xdr:row>
      <xdr:rowOff>95250</xdr:rowOff>
    </xdr:to>
    <xdr:sp macro="" textlink="">
      <xdr:nvSpPr>
        <xdr:cNvPr id="3" name="Strzałka w prawo 2">
          <a:extLst>
            <a:ext uri="{FF2B5EF4-FFF2-40B4-BE49-F238E27FC236}">
              <a16:creationId xmlns:a16="http://schemas.microsoft.com/office/drawing/2014/main" id="{634C5835-86F5-4BAB-9C3D-23A004E4D61C}"/>
            </a:ext>
          </a:extLst>
        </xdr:cNvPr>
        <xdr:cNvSpPr/>
      </xdr:nvSpPr>
      <xdr:spPr>
        <a:xfrm>
          <a:off x="2769178" y="10691901"/>
          <a:ext cx="1521576" cy="867639"/>
        </a:xfrm>
        <a:prstGeom prst="rightArrow">
          <a:avLst>
            <a:gd name="adj1" fmla="val 64433"/>
            <a:gd name="adj2" fmla="val 500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1000" baseline="0"/>
            <a:t>16,5 MJ/kg s.m.</a:t>
          </a:r>
        </a:p>
        <a:p>
          <a:pPr algn="ctr"/>
          <a:r>
            <a:rPr lang="pl-PL" sz="1000" baseline="0"/>
            <a:t>100%</a:t>
          </a:r>
          <a:endParaRPr lang="pl-PL" sz="1000"/>
        </a:p>
      </xdr:txBody>
    </xdr:sp>
    <xdr:clientData/>
  </xdr:twoCellAnchor>
  <xdr:twoCellAnchor>
    <xdr:from>
      <xdr:col>6</xdr:col>
      <xdr:colOff>533401</xdr:colOff>
      <xdr:row>56</xdr:row>
      <xdr:rowOff>109103</xdr:rowOff>
    </xdr:from>
    <xdr:to>
      <xdr:col>8</xdr:col>
      <xdr:colOff>424295</xdr:colOff>
      <xdr:row>61</xdr:row>
      <xdr:rowOff>155864</xdr:rowOff>
    </xdr:to>
    <xdr:sp macro="" textlink="">
      <xdr:nvSpPr>
        <xdr:cNvPr id="4" name="Strzałka w prawo 3">
          <a:extLst>
            <a:ext uri="{FF2B5EF4-FFF2-40B4-BE49-F238E27FC236}">
              <a16:creationId xmlns:a16="http://schemas.microsoft.com/office/drawing/2014/main" id="{75F86CB2-5BF0-4E35-874D-5EBAA4B64B18}"/>
            </a:ext>
          </a:extLst>
        </xdr:cNvPr>
        <xdr:cNvSpPr/>
      </xdr:nvSpPr>
      <xdr:spPr>
        <a:xfrm>
          <a:off x="6602731" y="10697093"/>
          <a:ext cx="1449184" cy="923061"/>
        </a:xfrm>
        <a:prstGeom prst="rightArrow">
          <a:avLst>
            <a:gd name="adj1" fmla="val 59058"/>
            <a:gd name="adj2" fmla="val 500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1000" baseline="0"/>
            <a:t>11 MJ/kg s.m. 41,6%</a:t>
          </a:r>
          <a:endParaRPr lang="pl-PL" sz="1000"/>
        </a:p>
      </xdr:txBody>
    </xdr:sp>
    <xdr:clientData/>
  </xdr:twoCellAnchor>
  <xdr:twoCellAnchor>
    <xdr:from>
      <xdr:col>4</xdr:col>
      <xdr:colOff>528202</xdr:colOff>
      <xdr:row>49</xdr:row>
      <xdr:rowOff>34636</xdr:rowOff>
    </xdr:from>
    <xdr:to>
      <xdr:col>5</xdr:col>
      <xdr:colOff>640772</xdr:colOff>
      <xdr:row>53</xdr:row>
      <xdr:rowOff>77932</xdr:rowOff>
    </xdr:to>
    <xdr:sp macro="" textlink="">
      <xdr:nvSpPr>
        <xdr:cNvPr id="5" name="Strzałka w górę 4">
          <a:extLst>
            <a:ext uri="{FF2B5EF4-FFF2-40B4-BE49-F238E27FC236}">
              <a16:creationId xmlns:a16="http://schemas.microsoft.com/office/drawing/2014/main" id="{86132FF1-727A-47ED-B398-96769E28B8A3}"/>
            </a:ext>
          </a:extLst>
        </xdr:cNvPr>
        <xdr:cNvSpPr/>
      </xdr:nvSpPr>
      <xdr:spPr>
        <a:xfrm>
          <a:off x="4898272" y="9388186"/>
          <a:ext cx="863140" cy="744336"/>
        </a:xfrm>
        <a:prstGeom prst="upArrow">
          <a:avLst>
            <a:gd name="adj1" fmla="val 66418"/>
            <a:gd name="adj2" fmla="val 5114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l-PL" sz="900">
              <a:solidFill>
                <a:schemeClr val="dk1"/>
              </a:solidFill>
              <a:latin typeface="+mn-lt"/>
              <a:ea typeface="+mn-ea"/>
              <a:cs typeface="+mn-cs"/>
            </a:rPr>
            <a:t>BIOGAZ</a:t>
          </a:r>
        </a:p>
        <a:p>
          <a:pPr marL="0" indent="0" algn="ctr"/>
          <a:r>
            <a:rPr lang="pl-PL" sz="900">
              <a:solidFill>
                <a:schemeClr val="dk1"/>
              </a:solidFill>
              <a:latin typeface="+mn-lt"/>
              <a:ea typeface="+mn-ea"/>
              <a:cs typeface="+mn-cs"/>
            </a:rPr>
            <a:t>50%</a:t>
          </a:r>
        </a:p>
      </xdr:txBody>
    </xdr:sp>
    <xdr:clientData/>
  </xdr:twoCellAnchor>
  <xdr:twoCellAnchor>
    <xdr:from>
      <xdr:col>4</xdr:col>
      <xdr:colOff>554180</xdr:colOff>
      <xdr:row>57</xdr:row>
      <xdr:rowOff>103910</xdr:rowOff>
    </xdr:from>
    <xdr:to>
      <xdr:col>6</xdr:col>
      <xdr:colOff>8658</xdr:colOff>
      <xdr:row>60</xdr:row>
      <xdr:rowOff>138546</xdr:rowOff>
    </xdr:to>
    <xdr:sp macro="" textlink="">
      <xdr:nvSpPr>
        <xdr:cNvPr id="6" name="Prostokąt zaokrąglony 6">
          <a:extLst>
            <a:ext uri="{FF2B5EF4-FFF2-40B4-BE49-F238E27FC236}">
              <a16:creationId xmlns:a16="http://schemas.microsoft.com/office/drawing/2014/main" id="{E358602D-4DED-4C0F-8E39-5DF4D8A953EF}"/>
            </a:ext>
          </a:extLst>
        </xdr:cNvPr>
        <xdr:cNvSpPr/>
      </xdr:nvSpPr>
      <xdr:spPr>
        <a:xfrm>
          <a:off x="4924250" y="10867160"/>
          <a:ext cx="1153738" cy="560416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900"/>
            <a:t>PRACA</a:t>
          </a:r>
          <a:br>
            <a:rPr lang="pl-PL" sz="900"/>
          </a:br>
          <a:r>
            <a:rPr lang="pl-PL" sz="900"/>
            <a:t>8,4%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8657</xdr:colOff>
      <xdr:row>53</xdr:row>
      <xdr:rowOff>155865</xdr:rowOff>
    </xdr:from>
    <xdr:to>
      <xdr:col>6</xdr:col>
      <xdr:colOff>467590</xdr:colOff>
      <xdr:row>64</xdr:row>
      <xdr:rowOff>60615</xdr:rowOff>
    </xdr:to>
    <xdr:sp macro="" textlink="">
      <xdr:nvSpPr>
        <xdr:cNvPr id="2" name="Schemat blokowy: przygotow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165021" y="10771910"/>
          <a:ext cx="1861705" cy="1905000"/>
        </a:xfrm>
        <a:prstGeom prst="flowChartPreparation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</xdr:col>
      <xdr:colOff>1930978</xdr:colOff>
      <xdr:row>56</xdr:row>
      <xdr:rowOff>103911</xdr:rowOff>
    </xdr:from>
    <xdr:to>
      <xdr:col>3</xdr:col>
      <xdr:colOff>640774</xdr:colOff>
      <xdr:row>61</xdr:row>
      <xdr:rowOff>95250</xdr:rowOff>
    </xdr:to>
    <xdr:sp macro="" textlink="">
      <xdr:nvSpPr>
        <xdr:cNvPr id="3" name="Strzałka w pra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727614" y="11282797"/>
          <a:ext cx="1385455" cy="900544"/>
        </a:xfrm>
        <a:prstGeom prst="rightArrow">
          <a:avLst>
            <a:gd name="adj1" fmla="val 64433"/>
            <a:gd name="adj2" fmla="val 500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1000" baseline="0"/>
            <a:t>16,5 MJ/kg s.m.</a:t>
          </a:r>
        </a:p>
        <a:p>
          <a:pPr algn="ctr"/>
          <a:r>
            <a:rPr lang="pl-PL" sz="1000" baseline="0"/>
            <a:t>100%</a:t>
          </a:r>
          <a:endParaRPr lang="pl-PL" sz="1000"/>
        </a:p>
      </xdr:txBody>
    </xdr:sp>
    <xdr:clientData/>
  </xdr:twoCellAnchor>
  <xdr:twoCellAnchor>
    <xdr:from>
      <xdr:col>6</xdr:col>
      <xdr:colOff>533401</xdr:colOff>
      <xdr:row>56</xdr:row>
      <xdr:rowOff>109103</xdr:rowOff>
    </xdr:from>
    <xdr:to>
      <xdr:col>8</xdr:col>
      <xdr:colOff>424295</xdr:colOff>
      <xdr:row>61</xdr:row>
      <xdr:rowOff>155864</xdr:rowOff>
    </xdr:to>
    <xdr:sp macro="" textlink="">
      <xdr:nvSpPr>
        <xdr:cNvPr id="4" name="Strzałka w pra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092537" y="11287989"/>
          <a:ext cx="1371599" cy="955966"/>
        </a:xfrm>
        <a:prstGeom prst="rightArrow">
          <a:avLst>
            <a:gd name="adj1" fmla="val 59058"/>
            <a:gd name="adj2" fmla="val 500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1000" baseline="0"/>
            <a:t>11 MJ/kg s.m. 41,6%</a:t>
          </a:r>
          <a:endParaRPr lang="pl-PL" sz="1000"/>
        </a:p>
      </xdr:txBody>
    </xdr:sp>
    <xdr:clientData/>
  </xdr:twoCellAnchor>
  <xdr:twoCellAnchor>
    <xdr:from>
      <xdr:col>4</xdr:col>
      <xdr:colOff>528202</xdr:colOff>
      <xdr:row>49</xdr:row>
      <xdr:rowOff>34636</xdr:rowOff>
    </xdr:from>
    <xdr:to>
      <xdr:col>5</xdr:col>
      <xdr:colOff>640772</xdr:colOff>
      <xdr:row>53</xdr:row>
      <xdr:rowOff>77932</xdr:rowOff>
    </xdr:to>
    <xdr:sp macro="" textlink="">
      <xdr:nvSpPr>
        <xdr:cNvPr id="5" name="Strzałka w górę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4684566" y="9914659"/>
          <a:ext cx="831274" cy="779318"/>
        </a:xfrm>
        <a:prstGeom prst="upArrow">
          <a:avLst>
            <a:gd name="adj1" fmla="val 66418"/>
            <a:gd name="adj2" fmla="val 5114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l-PL" sz="900">
              <a:solidFill>
                <a:schemeClr val="dk1"/>
              </a:solidFill>
              <a:latin typeface="+mn-lt"/>
              <a:ea typeface="+mn-ea"/>
              <a:cs typeface="+mn-cs"/>
            </a:rPr>
            <a:t>BIOGAZ</a:t>
          </a:r>
        </a:p>
        <a:p>
          <a:pPr marL="0" indent="0" algn="ctr"/>
          <a:r>
            <a:rPr lang="pl-PL" sz="900">
              <a:solidFill>
                <a:schemeClr val="dk1"/>
              </a:solidFill>
              <a:latin typeface="+mn-lt"/>
              <a:ea typeface="+mn-ea"/>
              <a:cs typeface="+mn-cs"/>
            </a:rPr>
            <a:t>50%</a:t>
          </a:r>
        </a:p>
      </xdr:txBody>
    </xdr:sp>
    <xdr:clientData/>
  </xdr:twoCellAnchor>
  <xdr:twoCellAnchor>
    <xdr:from>
      <xdr:col>4</xdr:col>
      <xdr:colOff>554180</xdr:colOff>
      <xdr:row>57</xdr:row>
      <xdr:rowOff>103910</xdr:rowOff>
    </xdr:from>
    <xdr:to>
      <xdr:col>6</xdr:col>
      <xdr:colOff>8658</xdr:colOff>
      <xdr:row>60</xdr:row>
      <xdr:rowOff>138546</xdr:rowOff>
    </xdr:to>
    <xdr:sp macro="" textlink="">
      <xdr:nvSpPr>
        <xdr:cNvPr id="7" name="Prostokąt zaokrąglony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4710544" y="11464637"/>
          <a:ext cx="857250" cy="580159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l-PL" sz="900"/>
            <a:t>PRACA</a:t>
          </a:r>
          <a:br>
            <a:rPr lang="pl-PL" sz="900"/>
          </a:br>
          <a:r>
            <a:rPr lang="pl-PL" sz="900"/>
            <a:t>8,4%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opLeftCell="A16" workbookViewId="0">
      <selection activeCell="J7" sqref="J7"/>
    </sheetView>
  </sheetViews>
  <sheetFormatPr defaultRowHeight="13.8"/>
  <cols>
    <col min="1" max="1" width="4.37890625" customWidth="1"/>
  </cols>
  <sheetData>
    <row r="1" spans="1:16" ht="21" customHeight="1">
      <c r="A1" s="83" t="s">
        <v>110</v>
      </c>
      <c r="B1" s="121"/>
      <c r="C1" s="121"/>
      <c r="D1" s="121"/>
      <c r="E1" s="121"/>
      <c r="F1" s="121"/>
      <c r="G1" s="121"/>
      <c r="H1" s="121"/>
      <c r="I1" s="121"/>
      <c r="J1" s="207"/>
      <c r="K1" s="204"/>
      <c r="L1" s="205"/>
      <c r="M1" s="205"/>
      <c r="N1" s="205"/>
      <c r="O1" s="205"/>
      <c r="P1" s="205"/>
    </row>
    <row r="2" spans="1:16" ht="38.25" customHeight="1">
      <c r="A2" s="201" t="s">
        <v>111</v>
      </c>
      <c r="B2" s="201"/>
      <c r="C2" s="201"/>
      <c r="D2" s="201"/>
      <c r="E2" s="201"/>
      <c r="F2" s="201"/>
      <c r="G2" s="201"/>
      <c r="H2" s="201"/>
      <c r="I2" s="201"/>
      <c r="J2" s="207"/>
      <c r="K2" s="204"/>
      <c r="L2" s="124"/>
      <c r="M2" s="124"/>
      <c r="N2" s="124"/>
      <c r="O2" s="124"/>
      <c r="P2" s="124"/>
    </row>
    <row r="3" spans="1:16" ht="19.5" customHeight="1">
      <c r="A3" s="201" t="s">
        <v>112</v>
      </c>
      <c r="B3" s="201"/>
      <c r="C3" s="201"/>
      <c r="D3" s="201"/>
      <c r="E3" s="201"/>
      <c r="F3" s="201"/>
      <c r="G3" s="201"/>
      <c r="H3" s="201"/>
      <c r="I3" s="121"/>
      <c r="J3" s="12"/>
      <c r="K3" s="206"/>
      <c r="L3" s="160"/>
      <c r="M3" s="160"/>
      <c r="N3" s="160"/>
      <c r="O3" s="160"/>
      <c r="P3" s="160"/>
    </row>
    <row r="4" spans="1:16" ht="14.25" customHeight="1">
      <c r="A4" s="152" t="s">
        <v>113</v>
      </c>
      <c r="B4" s="201" t="s">
        <v>142</v>
      </c>
      <c r="C4" s="201"/>
      <c r="D4" s="201"/>
      <c r="E4" s="201"/>
      <c r="F4" s="201"/>
      <c r="G4" s="201"/>
      <c r="H4" s="201"/>
      <c r="I4" s="201"/>
      <c r="J4" s="12"/>
      <c r="K4" s="206"/>
      <c r="L4" s="160"/>
      <c r="M4" s="160"/>
      <c r="N4" s="160"/>
      <c r="O4" s="160"/>
      <c r="P4" s="160"/>
    </row>
    <row r="5" spans="1:16">
      <c r="A5" s="152"/>
      <c r="B5" s="201"/>
      <c r="C5" s="201"/>
      <c r="D5" s="201"/>
      <c r="E5" s="201"/>
      <c r="F5" s="201"/>
      <c r="G5" s="201"/>
      <c r="H5" s="201"/>
      <c r="I5" s="201"/>
      <c r="J5" s="12"/>
      <c r="K5" s="124"/>
      <c r="L5" s="124"/>
      <c r="M5" s="124"/>
      <c r="N5" s="124"/>
      <c r="O5" s="160"/>
      <c r="P5" s="160"/>
    </row>
    <row r="6" spans="1:16">
      <c r="A6" s="152"/>
      <c r="B6" s="201"/>
      <c r="C6" s="201"/>
      <c r="D6" s="201"/>
      <c r="E6" s="201"/>
      <c r="F6" s="201"/>
      <c r="G6" s="201"/>
      <c r="H6" s="201"/>
      <c r="I6" s="201"/>
      <c r="J6" s="122"/>
      <c r="K6" s="161"/>
      <c r="L6" s="161"/>
      <c r="M6" s="161"/>
      <c r="N6" s="161"/>
      <c r="O6" s="161"/>
      <c r="P6" s="161"/>
    </row>
    <row r="7" spans="1:16" ht="19.5" customHeight="1">
      <c r="A7" s="152"/>
      <c r="B7" s="201"/>
      <c r="C7" s="201"/>
      <c r="D7" s="201"/>
      <c r="E7" s="201"/>
      <c r="F7" s="201"/>
      <c r="G7" s="201"/>
      <c r="H7" s="201"/>
      <c r="I7" s="201"/>
      <c r="J7" s="119"/>
      <c r="K7" s="162"/>
      <c r="L7" s="162"/>
      <c r="M7" s="162"/>
      <c r="N7" s="162"/>
      <c r="O7" s="162"/>
      <c r="P7" s="162"/>
    </row>
    <row r="8" spans="1:16" ht="31.5" customHeight="1">
      <c r="A8" s="152" t="s">
        <v>114</v>
      </c>
      <c r="B8" s="201" t="s">
        <v>119</v>
      </c>
      <c r="C8" s="201"/>
      <c r="D8" s="201"/>
      <c r="E8" s="201"/>
      <c r="F8" s="201"/>
      <c r="G8" s="201"/>
      <c r="H8" s="201"/>
      <c r="I8" s="201"/>
      <c r="J8" s="123"/>
      <c r="K8" s="163"/>
      <c r="L8" s="163"/>
      <c r="M8" s="163"/>
      <c r="N8" s="163"/>
      <c r="O8" s="163"/>
      <c r="P8" s="163"/>
    </row>
    <row r="9" spans="1:16" ht="29.25" customHeight="1">
      <c r="A9" s="152" t="s">
        <v>115</v>
      </c>
      <c r="B9" s="201" t="s">
        <v>120</v>
      </c>
      <c r="C9" s="201"/>
      <c r="D9" s="201"/>
      <c r="E9" s="201"/>
      <c r="F9" s="201"/>
      <c r="G9" s="201"/>
      <c r="H9" s="201"/>
      <c r="I9" s="201"/>
      <c r="J9" s="119"/>
      <c r="K9" s="164"/>
      <c r="L9" s="164"/>
      <c r="M9" s="164"/>
      <c r="N9" s="164"/>
      <c r="O9" s="164"/>
      <c r="P9" s="164"/>
    </row>
    <row r="10" spans="1:16" ht="33" customHeight="1">
      <c r="A10" s="153" t="s">
        <v>116</v>
      </c>
      <c r="B10" s="201" t="s">
        <v>143</v>
      </c>
      <c r="C10" s="201"/>
      <c r="D10" s="201"/>
      <c r="E10" s="201"/>
      <c r="F10" s="201"/>
      <c r="G10" s="201"/>
      <c r="H10" s="201"/>
      <c r="I10" s="201"/>
      <c r="J10" s="119"/>
      <c r="K10" s="124"/>
      <c r="L10" s="165"/>
      <c r="M10" s="165"/>
      <c r="N10" s="165"/>
      <c r="O10" s="165"/>
      <c r="P10" s="165"/>
    </row>
    <row r="11" spans="1:16" ht="46.5" customHeight="1">
      <c r="A11" s="152" t="s">
        <v>117</v>
      </c>
      <c r="B11" s="201" t="s">
        <v>121</v>
      </c>
      <c r="C11" s="201"/>
      <c r="D11" s="201"/>
      <c r="E11" s="201"/>
      <c r="F11" s="201"/>
      <c r="G11" s="201"/>
      <c r="H11" s="201"/>
      <c r="I11" s="201"/>
      <c r="J11" s="120"/>
      <c r="K11" s="124"/>
      <c r="L11" s="162"/>
      <c r="M11" s="162"/>
      <c r="N11" s="162"/>
      <c r="O11" s="162"/>
      <c r="P11" s="162"/>
    </row>
    <row r="12" spans="1:16" ht="49.5" customHeight="1">
      <c r="A12" s="152" t="s">
        <v>118</v>
      </c>
      <c r="B12" s="201" t="s">
        <v>144</v>
      </c>
      <c r="C12" s="201"/>
      <c r="D12" s="201"/>
      <c r="E12" s="201"/>
      <c r="F12" s="201"/>
      <c r="G12" s="201"/>
      <c r="H12" s="201"/>
      <c r="I12" s="201"/>
      <c r="J12" s="82"/>
      <c r="K12" s="124"/>
      <c r="L12" s="166"/>
      <c r="M12" s="167"/>
      <c r="N12" s="167"/>
      <c r="O12" s="167"/>
      <c r="P12" s="167"/>
    </row>
    <row r="13" spans="1:16">
      <c r="A13" s="203" t="s">
        <v>122</v>
      </c>
      <c r="B13" s="203"/>
      <c r="C13" s="203"/>
      <c r="D13" s="203"/>
      <c r="E13" s="203"/>
      <c r="F13" s="203"/>
      <c r="G13" s="203"/>
      <c r="H13" s="203"/>
      <c r="I13" s="203"/>
    </row>
    <row r="15" spans="1:16" ht="56.25" customHeight="1">
      <c r="A15" s="201" t="s">
        <v>145</v>
      </c>
      <c r="B15" s="201"/>
      <c r="C15" s="201"/>
      <c r="D15" s="201"/>
      <c r="E15" s="201"/>
      <c r="F15" s="201"/>
      <c r="G15" s="201"/>
      <c r="H15" s="201"/>
      <c r="I15" s="201"/>
    </row>
    <row r="16" spans="1:16" s="168" customFormat="1">
      <c r="A16" s="202" t="s">
        <v>123</v>
      </c>
      <c r="B16" s="202"/>
      <c r="C16" s="202"/>
      <c r="D16" s="202"/>
      <c r="E16" s="202"/>
      <c r="F16" s="202"/>
      <c r="G16" s="202"/>
      <c r="H16" s="202"/>
      <c r="I16" s="202"/>
    </row>
    <row r="17" spans="1:13" s="168" customFormat="1" ht="15" customHeight="1">
      <c r="A17" s="208" t="s">
        <v>146</v>
      </c>
      <c r="B17" s="208"/>
      <c r="C17" s="208"/>
      <c r="D17" s="208"/>
      <c r="E17" s="208"/>
      <c r="F17" s="208"/>
      <c r="G17" s="208"/>
      <c r="H17" s="208"/>
      <c r="I17" s="208"/>
    </row>
    <row r="18" spans="1:13" s="168" customFormat="1">
      <c r="A18" s="202" t="s">
        <v>150</v>
      </c>
      <c r="B18" s="202"/>
      <c r="C18" s="202"/>
      <c r="D18" s="202"/>
      <c r="E18" s="202"/>
      <c r="F18" s="202"/>
      <c r="G18" s="202"/>
      <c r="H18" s="202"/>
      <c r="I18" s="202"/>
    </row>
    <row r="19" spans="1:13" s="168" customFormat="1">
      <c r="A19" s="202" t="s">
        <v>149</v>
      </c>
      <c r="B19" s="202"/>
      <c r="C19" s="202"/>
      <c r="D19" s="202"/>
      <c r="E19" s="202"/>
      <c r="F19" s="202"/>
      <c r="G19" s="202"/>
      <c r="H19" s="202"/>
      <c r="I19" s="202"/>
    </row>
    <row r="20" spans="1:13" s="168" customFormat="1">
      <c r="A20" s="169" t="s">
        <v>126</v>
      </c>
    </row>
    <row r="21" spans="1:13" s="168" customFormat="1">
      <c r="A21" s="169" t="s">
        <v>124</v>
      </c>
    </row>
    <row r="22" spans="1:13" s="168" customFormat="1" ht="27" customHeight="1">
      <c r="A22" s="208" t="s">
        <v>125</v>
      </c>
      <c r="B22" s="208"/>
      <c r="C22" s="208"/>
      <c r="D22" s="208"/>
      <c r="E22" s="208"/>
      <c r="F22" s="208"/>
      <c r="G22" s="208"/>
      <c r="H22" s="208"/>
      <c r="I22" s="208"/>
    </row>
    <row r="23" spans="1:13" s="168" customFormat="1">
      <c r="A23" s="169" t="s">
        <v>127</v>
      </c>
    </row>
    <row r="24" spans="1:13" s="168" customFormat="1">
      <c r="A24" s="209" t="s">
        <v>151</v>
      </c>
      <c r="B24" s="209"/>
      <c r="C24" s="209"/>
      <c r="D24" s="209"/>
      <c r="E24" s="209"/>
      <c r="F24" s="209"/>
      <c r="G24" s="209"/>
      <c r="H24" s="209"/>
      <c r="I24" s="209"/>
    </row>
    <row r="25" spans="1:13" s="168" customFormat="1"/>
    <row r="26" spans="1:13" s="168" customFormat="1"/>
    <row r="27" spans="1:13" s="168" customFormat="1"/>
    <row r="28" spans="1:13" s="168" customFormat="1"/>
    <row r="29" spans="1:13" s="168" customFormat="1" ht="14.25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13" s="168" customFormat="1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13" s="168" customForma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s="168" customFormat="1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s="168" customForma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s="168" customFormat="1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>
      <c r="A35" s="154"/>
      <c r="B35" s="155"/>
      <c r="C35" s="155"/>
      <c r="D35" s="155"/>
      <c r="E35" s="155"/>
      <c r="F35" s="155"/>
      <c r="G35" s="155"/>
      <c r="H35" s="154"/>
      <c r="I35" s="154"/>
      <c r="J35" s="154"/>
      <c r="K35" s="154"/>
      <c r="L35" s="154"/>
      <c r="M35" s="154"/>
    </row>
    <row r="36" spans="1:13">
      <c r="A36" s="154"/>
      <c r="B36" s="155"/>
      <c r="C36" s="155"/>
      <c r="D36" s="155"/>
      <c r="E36" s="155"/>
      <c r="F36" s="155"/>
      <c r="G36" s="155"/>
      <c r="H36" s="154"/>
      <c r="I36" s="154"/>
      <c r="J36" s="154"/>
      <c r="K36" s="154"/>
      <c r="L36" s="154"/>
      <c r="M36" s="154"/>
    </row>
    <row r="37" spans="1:13">
      <c r="A37" s="154"/>
      <c r="B37" s="156"/>
      <c r="C37" s="156"/>
      <c r="D37" s="156"/>
      <c r="E37" s="156"/>
      <c r="F37" s="156"/>
      <c r="G37" s="156"/>
      <c r="H37" s="154"/>
      <c r="I37" s="154"/>
      <c r="J37" s="154"/>
      <c r="K37" s="154"/>
      <c r="L37" s="154"/>
      <c r="M37" s="154"/>
    </row>
    <row r="38" spans="1:13">
      <c r="A38" s="154"/>
      <c r="B38" s="154"/>
      <c r="C38" s="157"/>
      <c r="D38" s="157"/>
      <c r="E38" s="157"/>
      <c r="F38" s="157"/>
      <c r="G38" s="157"/>
      <c r="H38" s="154"/>
      <c r="I38" s="154"/>
      <c r="J38" s="154"/>
      <c r="K38" s="154"/>
      <c r="L38" s="154"/>
      <c r="M38" s="154"/>
    </row>
    <row r="39" spans="1:13">
      <c r="A39" s="154"/>
      <c r="B39" s="154"/>
      <c r="C39" s="155"/>
      <c r="D39" s="155"/>
      <c r="E39" s="155"/>
      <c r="F39" s="155"/>
      <c r="G39" s="155"/>
      <c r="H39" s="154"/>
      <c r="I39" s="154"/>
      <c r="J39" s="154"/>
      <c r="K39" s="154"/>
      <c r="L39" s="154"/>
      <c r="M39" s="154"/>
    </row>
    <row r="40" spans="1:13">
      <c r="A40" s="154"/>
      <c r="B40" s="154"/>
      <c r="C40" s="158"/>
      <c r="D40" s="159"/>
      <c r="E40" s="159"/>
      <c r="F40" s="159"/>
      <c r="G40" s="159"/>
      <c r="H40" s="154"/>
      <c r="I40" s="154"/>
      <c r="J40" s="154"/>
      <c r="K40" s="154"/>
      <c r="L40" s="154"/>
      <c r="M40" s="154"/>
    </row>
    <row r="41" spans="1:13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3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</row>
  </sheetData>
  <mergeCells count="20">
    <mergeCell ref="A17:I17"/>
    <mergeCell ref="A18:I18"/>
    <mergeCell ref="A19:I19"/>
    <mergeCell ref="A24:I24"/>
    <mergeCell ref="A22:I22"/>
    <mergeCell ref="K1:K2"/>
    <mergeCell ref="L1:P1"/>
    <mergeCell ref="K3:K4"/>
    <mergeCell ref="B10:I10"/>
    <mergeCell ref="A2:I2"/>
    <mergeCell ref="J1:J2"/>
    <mergeCell ref="A3:H3"/>
    <mergeCell ref="B4:I7"/>
    <mergeCell ref="B8:I8"/>
    <mergeCell ref="B9:I9"/>
    <mergeCell ref="A15:I15"/>
    <mergeCell ref="A16:I16"/>
    <mergeCell ref="B11:I11"/>
    <mergeCell ref="B12:I12"/>
    <mergeCell ref="A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opLeftCell="A7" workbookViewId="0">
      <selection activeCell="A14" sqref="A14"/>
    </sheetView>
  </sheetViews>
  <sheetFormatPr defaultRowHeight="13.8"/>
  <cols>
    <col min="1" max="1" width="26.85546875" customWidth="1"/>
    <col min="2" max="2" width="16.47265625" customWidth="1"/>
    <col min="3" max="3" width="13.76171875" customWidth="1"/>
    <col min="4" max="4" width="13.6171875" customWidth="1"/>
    <col min="5" max="5" width="14.234375" customWidth="1"/>
    <col min="6" max="6" width="15.140625" customWidth="1"/>
    <col min="7" max="7" width="15.76171875" customWidth="1"/>
  </cols>
  <sheetData>
    <row r="1" spans="1:12" ht="25.5" customHeight="1" thickBot="1">
      <c r="A1" s="218" t="s">
        <v>134</v>
      </c>
      <c r="B1" s="218"/>
      <c r="C1" s="218"/>
      <c r="D1" s="218"/>
      <c r="E1" s="219"/>
      <c r="F1" s="172"/>
      <c r="G1" s="80" t="s">
        <v>59</v>
      </c>
    </row>
    <row r="2" spans="1:12" ht="8.25" customHeight="1" thickBot="1">
      <c r="A2" s="2"/>
      <c r="B2" s="2"/>
      <c r="C2" s="2"/>
      <c r="D2" s="2"/>
      <c r="E2" s="2"/>
      <c r="F2" s="2"/>
      <c r="G2" s="2"/>
    </row>
    <row r="3" spans="1:12">
      <c r="A3" s="210" t="s">
        <v>106</v>
      </c>
      <c r="B3" s="212" t="s">
        <v>147</v>
      </c>
      <c r="C3" s="214" t="s">
        <v>105</v>
      </c>
      <c r="D3" s="214"/>
      <c r="E3" s="214"/>
      <c r="F3" s="214"/>
      <c r="G3" s="215"/>
    </row>
    <row r="4" spans="1:12" ht="48.75" customHeight="1" thickBot="1">
      <c r="A4" s="211"/>
      <c r="B4" s="213"/>
      <c r="C4" s="133" t="s">
        <v>128</v>
      </c>
      <c r="D4" s="133" t="s">
        <v>132</v>
      </c>
      <c r="E4" s="133" t="s">
        <v>131</v>
      </c>
      <c r="F4" s="133" t="s">
        <v>130</v>
      </c>
      <c r="G4" s="134" t="s">
        <v>129</v>
      </c>
    </row>
    <row r="5" spans="1:12" ht="30" customHeight="1">
      <c r="A5" s="150" t="s">
        <v>107</v>
      </c>
      <c r="B5" s="216"/>
      <c r="C5" s="132"/>
      <c r="D5" s="132"/>
      <c r="E5" s="132"/>
      <c r="F5" s="132"/>
      <c r="G5" s="149"/>
    </row>
    <row r="6" spans="1:12" ht="30" customHeight="1">
      <c r="A6" s="135" t="s">
        <v>108</v>
      </c>
      <c r="B6" s="217"/>
      <c r="C6" s="125"/>
      <c r="D6" s="125"/>
      <c r="E6" s="125"/>
      <c r="F6" s="125"/>
      <c r="G6" s="136"/>
      <c r="L6" s="79"/>
    </row>
    <row r="7" spans="1:12" ht="30" customHeight="1">
      <c r="A7" s="135" t="s">
        <v>109</v>
      </c>
      <c r="B7" s="126" t="s">
        <v>98</v>
      </c>
      <c r="C7" s="126" t="s">
        <v>98</v>
      </c>
      <c r="D7" s="126" t="s">
        <v>98</v>
      </c>
      <c r="E7" s="126" t="s">
        <v>98</v>
      </c>
      <c r="F7" s="125"/>
      <c r="G7" s="136"/>
    </row>
    <row r="8" spans="1:12" ht="30" customHeight="1">
      <c r="A8" s="137" t="s">
        <v>99</v>
      </c>
      <c r="B8" s="127"/>
      <c r="C8" s="127"/>
      <c r="D8" s="127"/>
      <c r="E8" s="127"/>
      <c r="F8" s="127"/>
      <c r="G8" s="138"/>
    </row>
    <row r="9" spans="1:12" ht="30" customHeight="1">
      <c r="A9" s="139" t="s">
        <v>100</v>
      </c>
      <c r="B9" s="128"/>
      <c r="C9" s="128"/>
      <c r="D9" s="128"/>
      <c r="E9" s="128"/>
      <c r="F9" s="128"/>
      <c r="G9" s="140"/>
    </row>
    <row r="10" spans="1:12" ht="30" customHeight="1">
      <c r="A10" s="141" t="s">
        <v>101</v>
      </c>
      <c r="B10" s="129">
        <v>0.18</v>
      </c>
      <c r="C10" s="129">
        <v>0.2</v>
      </c>
      <c r="D10" s="129">
        <v>0.2</v>
      </c>
      <c r="E10" s="129">
        <v>0.23</v>
      </c>
      <c r="F10" s="129">
        <v>0.23</v>
      </c>
      <c r="G10" s="142">
        <v>0.25</v>
      </c>
    </row>
    <row r="11" spans="1:12" ht="30" customHeight="1">
      <c r="A11" s="139" t="s">
        <v>102</v>
      </c>
      <c r="B11" s="130"/>
      <c r="C11" s="130"/>
      <c r="D11" s="130"/>
      <c r="E11" s="130"/>
      <c r="F11" s="130"/>
      <c r="G11" s="143"/>
    </row>
    <row r="12" spans="1:12" ht="30" customHeight="1">
      <c r="A12" s="139" t="s">
        <v>103</v>
      </c>
      <c r="B12" s="126"/>
      <c r="C12" s="131"/>
      <c r="D12" s="131"/>
      <c r="E12" s="131"/>
      <c r="F12" s="131"/>
      <c r="G12" s="144"/>
    </row>
    <row r="13" spans="1:12" ht="30" customHeight="1">
      <c r="A13" s="145" t="s">
        <v>104</v>
      </c>
      <c r="B13" s="126" t="s">
        <v>133</v>
      </c>
      <c r="C13" s="131"/>
      <c r="D13" s="131"/>
      <c r="E13" s="131"/>
      <c r="F13" s="131"/>
      <c r="G13" s="144"/>
    </row>
    <row r="14" spans="1:12" ht="33.75" customHeight="1">
      <c r="A14" s="171" t="s">
        <v>152</v>
      </c>
      <c r="B14" s="126"/>
      <c r="C14" s="128"/>
      <c r="D14" s="128"/>
      <c r="E14" s="128"/>
      <c r="F14" s="128"/>
      <c r="G14" s="140"/>
    </row>
    <row r="15" spans="1:12" ht="33.75" customHeight="1" thickBot="1">
      <c r="A15" s="146" t="s">
        <v>148</v>
      </c>
      <c r="B15" s="133">
        <v>0</v>
      </c>
      <c r="C15" s="151"/>
      <c r="D15" s="147"/>
      <c r="E15" s="147"/>
      <c r="F15" s="147"/>
      <c r="G15" s="148"/>
    </row>
  </sheetData>
  <mergeCells count="5">
    <mergeCell ref="A3:A4"/>
    <mergeCell ref="B3:B4"/>
    <mergeCell ref="C3:G3"/>
    <mergeCell ref="B5:B6"/>
    <mergeCell ref="A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A775-7522-49F8-8BB5-2602E7DA3EFB}">
  <dimension ref="A1:Q70"/>
  <sheetViews>
    <sheetView tabSelected="1" topLeftCell="A10" zoomScale="90" zoomScaleNormal="90" workbookViewId="0">
      <selection activeCell="Q20" sqref="Q20"/>
    </sheetView>
  </sheetViews>
  <sheetFormatPr defaultColWidth="9" defaultRowHeight="13.8"/>
  <cols>
    <col min="1" max="1" width="10.47265625" style="2" customWidth="1"/>
    <col min="2" max="2" width="26.140625" style="2" customWidth="1"/>
    <col min="3" max="4" width="9" style="2"/>
    <col min="5" max="5" width="9.37890625" style="2" customWidth="1"/>
    <col min="6" max="6" width="11.85546875" style="2" bestFit="1" customWidth="1"/>
    <col min="7" max="7" width="10.47265625" style="2" bestFit="1" customWidth="1"/>
    <col min="8" max="10" width="9" style="2"/>
    <col min="11" max="12" width="9.37890625" style="2" customWidth="1"/>
    <col min="13" max="13" width="9.37890625" style="2" bestFit="1" customWidth="1"/>
    <col min="14" max="14" width="9" style="2" customWidth="1"/>
    <col min="15" max="15" width="4.37890625" style="2" customWidth="1"/>
    <col min="16" max="16384" width="9" style="2"/>
  </cols>
  <sheetData>
    <row r="1" spans="2:14">
      <c r="B1" s="224" t="s">
        <v>62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4" ht="14.1" thickBot="1">
      <c r="B2" s="23" t="s">
        <v>42</v>
      </c>
    </row>
    <row r="3" spans="2:14" ht="14.1" thickBot="1">
      <c r="B3" s="176" t="s">
        <v>67</v>
      </c>
      <c r="C3" s="94"/>
      <c r="D3" s="94"/>
      <c r="E3" s="259" t="s">
        <v>58</v>
      </c>
      <c r="F3" s="259"/>
      <c r="G3" s="259"/>
      <c r="H3" s="260"/>
      <c r="I3" s="81">
        <v>180000</v>
      </c>
      <c r="J3" s="177" t="s">
        <v>59</v>
      </c>
    </row>
    <row r="4" spans="2:14" ht="27" customHeight="1" thickBot="1">
      <c r="B4" s="89" t="s">
        <v>68</v>
      </c>
      <c r="C4" s="90" t="s">
        <v>65</v>
      </c>
      <c r="D4" s="91" t="s">
        <v>75</v>
      </c>
      <c r="E4" s="91" t="s">
        <v>74</v>
      </c>
      <c r="F4" s="91" t="s">
        <v>72</v>
      </c>
      <c r="G4" s="91" t="s">
        <v>73</v>
      </c>
      <c r="H4" s="92" t="s">
        <v>166</v>
      </c>
      <c r="I4" s="54"/>
      <c r="J4" s="109"/>
    </row>
    <row r="5" spans="2:14">
      <c r="B5" s="178" t="s">
        <v>69</v>
      </c>
      <c r="C5" s="198" t="s">
        <v>7</v>
      </c>
      <c r="D5" s="179">
        <f>0.4*D7</f>
        <v>4320</v>
      </c>
      <c r="E5" s="179">
        <f>0.55*E7</f>
        <v>7920.0000000000009</v>
      </c>
      <c r="F5" s="179">
        <f>0.4*F7</f>
        <v>4320</v>
      </c>
      <c r="G5" s="84">
        <f>F5</f>
        <v>4320</v>
      </c>
      <c r="H5" s="180">
        <f>G5/G7</f>
        <v>0.4</v>
      </c>
      <c r="I5" s="54"/>
      <c r="J5" s="109"/>
    </row>
    <row r="6" spans="2:14">
      <c r="B6" s="178" t="s">
        <v>70</v>
      </c>
      <c r="C6" s="198" t="s">
        <v>7</v>
      </c>
      <c r="D6" s="179">
        <f>0.45*D7</f>
        <v>4860</v>
      </c>
      <c r="E6" s="179">
        <f>0.6*E7</f>
        <v>8640</v>
      </c>
      <c r="F6" s="179">
        <f>0.6*F7</f>
        <v>6480</v>
      </c>
      <c r="G6" s="84">
        <f>F6</f>
        <v>6480</v>
      </c>
      <c r="H6" s="180">
        <f>G6/G7</f>
        <v>0.6</v>
      </c>
      <c r="I6" s="54"/>
      <c r="J6" s="109"/>
    </row>
    <row r="7" spans="2:14" ht="14.1" thickBot="1">
      <c r="B7" s="178" t="s">
        <v>71</v>
      </c>
      <c r="C7" s="198" t="s">
        <v>7</v>
      </c>
      <c r="D7" s="179">
        <f>I3*60/1000</f>
        <v>10800</v>
      </c>
      <c r="E7" s="179">
        <f>80*I3/1000</f>
        <v>14400</v>
      </c>
      <c r="F7" s="179">
        <f>60*I3/1000</f>
        <v>10800</v>
      </c>
      <c r="G7" s="100">
        <f>SUM(G5:G6)</f>
        <v>10800</v>
      </c>
      <c r="H7" s="54"/>
      <c r="I7" s="54"/>
      <c r="J7" s="109"/>
    </row>
    <row r="8" spans="2:14" ht="14.1" thickBot="1">
      <c r="B8" s="178" t="s">
        <v>66</v>
      </c>
      <c r="C8" s="198" t="s">
        <v>7</v>
      </c>
      <c r="D8" s="179">
        <f>0.1*D7</f>
        <v>1080</v>
      </c>
      <c r="E8" s="179">
        <f>0.1*E7</f>
        <v>1440</v>
      </c>
      <c r="F8" s="179">
        <f>10%*F7</f>
        <v>1080</v>
      </c>
      <c r="G8" s="85">
        <f>F8</f>
        <v>1080</v>
      </c>
      <c r="H8" s="225" t="s">
        <v>167</v>
      </c>
      <c r="I8" s="226"/>
      <c r="J8" s="227"/>
      <c r="L8" s="274" t="s">
        <v>165</v>
      </c>
      <c r="M8" s="275"/>
      <c r="N8" s="174"/>
    </row>
    <row r="9" spans="2:14" ht="14.1" thickBot="1">
      <c r="B9" s="178" t="s">
        <v>63</v>
      </c>
      <c r="C9" s="192" t="s">
        <v>76</v>
      </c>
      <c r="D9" s="179">
        <f>0.1*I3</f>
        <v>18000</v>
      </c>
      <c r="E9" s="179">
        <f>0.15*I3</f>
        <v>27000</v>
      </c>
      <c r="F9" s="179">
        <f>F10*1.2</f>
        <v>21600</v>
      </c>
      <c r="G9" s="181">
        <v>18500</v>
      </c>
      <c r="H9" s="95">
        <f>I3*120/G9</f>
        <v>1167.5675675675675</v>
      </c>
      <c r="I9" s="96" t="s">
        <v>77</v>
      </c>
      <c r="J9" s="97"/>
      <c r="L9" s="178" t="s">
        <v>168</v>
      </c>
      <c r="M9" s="268" t="s">
        <v>164</v>
      </c>
    </row>
    <row r="10" spans="2:14" ht="14.1">
      <c r="B10" s="182" t="s">
        <v>64</v>
      </c>
      <c r="C10" s="93" t="s">
        <v>76</v>
      </c>
      <c r="D10" s="179">
        <f>0.07*I3</f>
        <v>12600.000000000002</v>
      </c>
      <c r="E10" s="179">
        <f>0.125*I3</f>
        <v>22500</v>
      </c>
      <c r="F10" s="179">
        <f>0.1*I3</f>
        <v>18000</v>
      </c>
      <c r="G10" s="181">
        <v>14450</v>
      </c>
      <c r="H10" s="266">
        <f>(G9-G10)/G10</f>
        <v>0.28027681660899656</v>
      </c>
      <c r="I10" s="267" t="s">
        <v>156</v>
      </c>
      <c r="J10" s="109"/>
      <c r="L10" s="269" t="s">
        <v>157</v>
      </c>
      <c r="M10" s="270">
        <v>3000</v>
      </c>
      <c r="N10" s="80"/>
    </row>
    <row r="11" spans="2:14" ht="16.5" thickBot="1">
      <c r="B11" s="183" t="s">
        <v>80</v>
      </c>
      <c r="C11" s="54"/>
      <c r="D11" s="228" t="s">
        <v>27</v>
      </c>
      <c r="E11" s="228"/>
      <c r="F11" s="24" t="s">
        <v>28</v>
      </c>
      <c r="G11" s="184" t="s">
        <v>35</v>
      </c>
      <c r="H11" s="13">
        <v>0.35</v>
      </c>
      <c r="I11" s="252" t="s">
        <v>141</v>
      </c>
      <c r="J11" s="253"/>
      <c r="K11" s="1"/>
      <c r="L11" s="269" t="s">
        <v>158</v>
      </c>
      <c r="M11" s="270">
        <v>750</v>
      </c>
    </row>
    <row r="12" spans="2:14" ht="14.4" thickTop="1" thickBot="1">
      <c r="B12" s="254" t="s">
        <v>60</v>
      </c>
      <c r="C12" s="229"/>
      <c r="D12" s="229"/>
      <c r="E12" s="6">
        <v>23</v>
      </c>
      <c r="F12" s="3">
        <f>K19/F19</f>
        <v>18.399999999999999</v>
      </c>
      <c r="G12" s="12" t="s">
        <v>29</v>
      </c>
      <c r="H12" s="10">
        <v>14</v>
      </c>
      <c r="I12" s="15" t="s">
        <v>11</v>
      </c>
      <c r="J12" s="109"/>
      <c r="K12" s="1"/>
      <c r="L12" s="269" t="s">
        <v>159</v>
      </c>
      <c r="M12" s="270">
        <v>150</v>
      </c>
    </row>
    <row r="13" spans="2:14" ht="14.1" thickTop="1">
      <c r="B13" s="255" t="s">
        <v>61</v>
      </c>
      <c r="C13" s="230"/>
      <c r="D13" s="230"/>
      <c r="E13" s="7">
        <v>21</v>
      </c>
      <c r="F13" s="4">
        <f>K20/F20</f>
        <v>16.380000000000003</v>
      </c>
      <c r="G13" s="12" t="s">
        <v>39</v>
      </c>
      <c r="H13" s="54"/>
      <c r="I13" s="13">
        <v>0.35</v>
      </c>
      <c r="J13" s="185" t="s">
        <v>40</v>
      </c>
      <c r="K13" s="1"/>
      <c r="L13" s="269" t="s">
        <v>160</v>
      </c>
      <c r="M13" s="270">
        <v>0</v>
      </c>
    </row>
    <row r="14" spans="2:14" ht="14.1" thickBot="1">
      <c r="B14" s="256" t="s">
        <v>135</v>
      </c>
      <c r="C14" s="231"/>
      <c r="D14" s="231"/>
      <c r="E14" s="8">
        <v>32</v>
      </c>
      <c r="F14" s="4">
        <f>K21/F21</f>
        <v>28.8</v>
      </c>
      <c r="G14" s="12" t="s">
        <v>44</v>
      </c>
      <c r="H14" s="54"/>
      <c r="I14" s="13">
        <v>0.2</v>
      </c>
      <c r="J14" s="185" t="s">
        <v>40</v>
      </c>
      <c r="K14" s="1"/>
      <c r="L14" s="269" t="s">
        <v>161</v>
      </c>
      <c r="M14" s="271">
        <f>SUM(M10:M13)</f>
        <v>3900</v>
      </c>
    </row>
    <row r="15" spans="2:14" ht="14.4" thickTop="1" thickBot="1">
      <c r="B15" s="257" t="s">
        <v>33</v>
      </c>
      <c r="C15" s="258"/>
      <c r="D15" s="258"/>
      <c r="E15" s="186">
        <f>K22/G22</f>
        <v>22.856492027334852</v>
      </c>
      <c r="F15" s="186">
        <f>K22/F22</f>
        <v>18.243636363636366</v>
      </c>
      <c r="G15" s="96" t="s">
        <v>79</v>
      </c>
      <c r="H15" s="187"/>
      <c r="I15" s="188">
        <v>0.6</v>
      </c>
      <c r="J15" s="189" t="s">
        <v>78</v>
      </c>
      <c r="L15" s="269" t="s">
        <v>163</v>
      </c>
      <c r="M15" s="272">
        <v>145</v>
      </c>
      <c r="N15" s="190">
        <f>C26-C31</f>
        <v>143.51582268907561</v>
      </c>
    </row>
    <row r="16" spans="2:14" ht="14.1" thickBot="1">
      <c r="B16" s="243"/>
      <c r="C16" s="243"/>
      <c r="D16" s="243"/>
      <c r="E16" s="27"/>
      <c r="F16" s="27"/>
      <c r="G16" s="23"/>
      <c r="I16" s="99"/>
      <c r="J16" s="21"/>
      <c r="L16" s="146" t="s">
        <v>162</v>
      </c>
      <c r="M16" s="273">
        <f>M14*M15/1000</f>
        <v>565.5</v>
      </c>
      <c r="N16" s="191"/>
    </row>
    <row r="17" spans="2:17" ht="14.4" thickTop="1" thickBot="1">
      <c r="J17" s="197" t="s">
        <v>45</v>
      </c>
      <c r="K17" s="197" t="s">
        <v>12</v>
      </c>
      <c r="N17" s="198"/>
      <c r="O17" s="198"/>
      <c r="P17" s="198"/>
    </row>
    <row r="18" spans="2:17" ht="23.4" thickTop="1" thickBot="1">
      <c r="B18" s="26" t="s">
        <v>20</v>
      </c>
      <c r="C18" s="11" t="s">
        <v>8</v>
      </c>
      <c r="D18" s="11" t="s">
        <v>21</v>
      </c>
      <c r="E18" s="11" t="s">
        <v>22</v>
      </c>
      <c r="F18" s="11" t="s">
        <v>7</v>
      </c>
      <c r="G18" s="11" t="s">
        <v>13</v>
      </c>
      <c r="H18" s="11" t="s">
        <v>10</v>
      </c>
      <c r="I18" s="11" t="s">
        <v>9</v>
      </c>
      <c r="J18" s="199" t="s">
        <v>30</v>
      </c>
      <c r="K18" s="199" t="s">
        <v>26</v>
      </c>
      <c r="L18" s="11" t="s">
        <v>23</v>
      </c>
      <c r="M18" s="11" t="s">
        <v>31</v>
      </c>
      <c r="P18" s="27"/>
    </row>
    <row r="19" spans="2:17" ht="14.1" thickTop="1">
      <c r="B19" s="28" t="s">
        <v>0</v>
      </c>
      <c r="C19" s="3">
        <f>F19/D19/1000</f>
        <v>86.4</v>
      </c>
      <c r="D19" s="29">
        <v>0.05</v>
      </c>
      <c r="E19" s="30">
        <v>0.8</v>
      </c>
      <c r="F19" s="86">
        <f>G5</f>
        <v>4320</v>
      </c>
      <c r="G19" s="3">
        <f>F19*E19</f>
        <v>3456</v>
      </c>
      <c r="H19" s="3">
        <f>F19-G19</f>
        <v>864</v>
      </c>
      <c r="I19" s="3">
        <f>C19-F19/1000</f>
        <v>82.080000000000013</v>
      </c>
      <c r="J19" s="32">
        <f>K19/G19/H12</f>
        <v>1.6428571428571428</v>
      </c>
      <c r="K19" s="3">
        <f>G19*E12</f>
        <v>79488</v>
      </c>
      <c r="L19" s="33">
        <f>F19/F22</f>
        <v>0.36363636363636365</v>
      </c>
      <c r="M19" s="33">
        <f>L28/L27</f>
        <v>0.41381792011514923</v>
      </c>
      <c r="P19" s="27"/>
    </row>
    <row r="20" spans="2:17">
      <c r="B20" s="34" t="s">
        <v>1</v>
      </c>
      <c r="C20" s="4">
        <f>F20/D20/1000</f>
        <v>76.235294117647044</v>
      </c>
      <c r="D20" s="35">
        <v>8.5000000000000006E-2</v>
      </c>
      <c r="E20" s="36">
        <v>0.78</v>
      </c>
      <c r="F20" s="87">
        <f>G6</f>
        <v>6480</v>
      </c>
      <c r="G20" s="4">
        <f>F20*E20</f>
        <v>5054.4000000000005</v>
      </c>
      <c r="H20" s="4">
        <f>F20-G20</f>
        <v>1425.5999999999995</v>
      </c>
      <c r="I20" s="4">
        <f>C20-F20/1000</f>
        <v>69.75529411764704</v>
      </c>
      <c r="J20" s="38">
        <f>K20/G20/H12</f>
        <v>1.5</v>
      </c>
      <c r="K20" s="4">
        <f>G20*E13</f>
        <v>106142.40000000001</v>
      </c>
      <c r="L20" s="39">
        <f>F20/F22</f>
        <v>0.54545454545454541</v>
      </c>
      <c r="M20" s="39">
        <f>L29/L27</f>
        <v>0.37891327815761078</v>
      </c>
      <c r="P20" s="27"/>
    </row>
    <row r="21" spans="2:17" ht="14.1" thickBot="1">
      <c r="B21" s="40" t="s">
        <v>2</v>
      </c>
      <c r="C21" s="5">
        <f>F21/D21/1000</f>
        <v>10.8</v>
      </c>
      <c r="D21" s="41">
        <v>0.1</v>
      </c>
      <c r="E21" s="42">
        <v>0.9</v>
      </c>
      <c r="F21" s="88">
        <f>G8</f>
        <v>1080</v>
      </c>
      <c r="G21" s="5">
        <f>F21*E21</f>
        <v>972</v>
      </c>
      <c r="H21" s="5">
        <f>F21-G21</f>
        <v>108</v>
      </c>
      <c r="I21" s="5">
        <f>C21-F21/1000</f>
        <v>9.7200000000000006</v>
      </c>
      <c r="J21" s="44">
        <f>K21/G21/H12</f>
        <v>2.2857142857142856</v>
      </c>
      <c r="K21" s="5">
        <f>E14*G21</f>
        <v>31104</v>
      </c>
      <c r="L21" s="45">
        <f>F21/F22</f>
        <v>9.0909090909090912E-2</v>
      </c>
      <c r="M21" s="45">
        <f>L30/L27</f>
        <v>0.20726880172723994</v>
      </c>
      <c r="P21" s="27"/>
    </row>
    <row r="22" spans="2:17" ht="14.4" thickTop="1" thickBot="1">
      <c r="B22" s="40" t="s">
        <v>15</v>
      </c>
      <c r="C22" s="200">
        <f>C19+C20+C21</f>
        <v>173.43529411764706</v>
      </c>
      <c r="D22" s="47">
        <f>F22/C22/1000</f>
        <v>6.8498168498168491E-2</v>
      </c>
      <c r="E22" s="48">
        <f>G22/F22</f>
        <v>0.79818181818181833</v>
      </c>
      <c r="F22" s="5">
        <f>F19+F20+F21</f>
        <v>11880</v>
      </c>
      <c r="G22" s="5">
        <f>G19+G20+G21</f>
        <v>9482.4000000000015</v>
      </c>
      <c r="H22" s="200">
        <f>H19+H20+H21</f>
        <v>2397.5999999999995</v>
      </c>
      <c r="I22" s="5">
        <f>I19+I20+I21</f>
        <v>161.55529411764704</v>
      </c>
      <c r="J22" s="44">
        <f>K22/G22/H12</f>
        <v>1.6326065733810609</v>
      </c>
      <c r="K22" s="5">
        <f>SUM(K19:K21)</f>
        <v>216734.40000000002</v>
      </c>
      <c r="L22" s="33">
        <f>SUM(L19:L21)</f>
        <v>1</v>
      </c>
      <c r="M22" s="33">
        <f>SUM(M19:M21)</f>
        <v>1</v>
      </c>
    </row>
    <row r="23" spans="2:17" ht="16.5" customHeight="1" thickTop="1">
      <c r="B23" s="28" t="s">
        <v>3</v>
      </c>
      <c r="C23" s="3">
        <f>I23+F23/1000</f>
        <v>85.680000000000021</v>
      </c>
      <c r="D23" s="49">
        <f>F23/C23/1000</f>
        <v>2.2408963585434174E-2</v>
      </c>
      <c r="E23" s="30">
        <v>0.55000000000000004</v>
      </c>
      <c r="F23" s="3">
        <f>H23/(100%-E23)</f>
        <v>1920.0000000000002</v>
      </c>
      <c r="G23" s="3">
        <f>F23-H23</f>
        <v>1056.0000000000002</v>
      </c>
      <c r="H23" s="3">
        <f>H19</f>
        <v>864</v>
      </c>
      <c r="I23" s="3">
        <f>I19+(G19-G23)*0.7/1000</f>
        <v>83.760000000000019</v>
      </c>
      <c r="J23" s="263">
        <f>J19*(100%-8.4%)</f>
        <v>1.5048571428571429</v>
      </c>
      <c r="K23" s="3">
        <f>J23*G23*H12</f>
        <v>22247.808000000005</v>
      </c>
      <c r="L23" s="220" t="s">
        <v>32</v>
      </c>
      <c r="M23" s="220" t="s">
        <v>24</v>
      </c>
      <c r="N23" s="220" t="s">
        <v>34</v>
      </c>
      <c r="O23" s="220" t="s">
        <v>155</v>
      </c>
    </row>
    <row r="24" spans="2:17" ht="15" customHeight="1">
      <c r="B24" s="50" t="s">
        <v>4</v>
      </c>
      <c r="C24" s="51">
        <f>I24+F24/1000</f>
        <v>75.513236974789891</v>
      </c>
      <c r="D24" s="52">
        <f>F24/C24/1000</f>
        <v>5.3939455124969359E-2</v>
      </c>
      <c r="E24" s="53">
        <v>0.65</v>
      </c>
      <c r="F24" s="51">
        <f>H24/(100%-E24)</f>
        <v>4073.142857142856</v>
      </c>
      <c r="G24" s="51">
        <f>F24-H24</f>
        <v>2647.5428571428565</v>
      </c>
      <c r="H24" s="4">
        <f>H20</f>
        <v>1425.5999999999995</v>
      </c>
      <c r="I24" s="51">
        <f>I20+(G20-G24)*0.7/1000</f>
        <v>71.440094117647035</v>
      </c>
      <c r="J24" s="264">
        <f>J20*(100%-8.4%)</f>
        <v>1.3740000000000001</v>
      </c>
      <c r="K24" s="4">
        <f>J24*G24*H12</f>
        <v>50928.134399999995</v>
      </c>
      <c r="L24" s="221"/>
      <c r="M24" s="221"/>
      <c r="N24" s="221"/>
      <c r="O24" s="221"/>
      <c r="P24" s="54"/>
      <c r="Q24" s="54"/>
    </row>
    <row r="25" spans="2:17" ht="14.1" thickBot="1">
      <c r="B25" s="40" t="s">
        <v>5</v>
      </c>
      <c r="C25" s="5">
        <f>I25+F25/1000</f>
        <v>10.540799999999999</v>
      </c>
      <c r="D25" s="47">
        <f>F25/C25/1000</f>
        <v>2.0491803278688527E-2</v>
      </c>
      <c r="E25" s="42">
        <v>0.5</v>
      </c>
      <c r="F25" s="5">
        <f>H25/(100%-E25)</f>
        <v>216</v>
      </c>
      <c r="G25" s="5">
        <f>F25-H25</f>
        <v>108</v>
      </c>
      <c r="H25" s="5">
        <f>H21</f>
        <v>108</v>
      </c>
      <c r="I25" s="5">
        <f>I21+(G21-G25)*0.7/1000</f>
        <v>10.3248</v>
      </c>
      <c r="J25" s="265">
        <f>J21*(100%-8.4%)</f>
        <v>2.0937142857142859</v>
      </c>
      <c r="K25" s="5">
        <f>J25*G25*H12</f>
        <v>3165.6960000000004</v>
      </c>
      <c r="L25" s="221"/>
      <c r="M25" s="221"/>
      <c r="N25" s="221"/>
      <c r="O25" s="221"/>
      <c r="P25" s="54"/>
      <c r="Q25" s="54"/>
    </row>
    <row r="26" spans="2:17" ht="14.4" thickTop="1" thickBot="1">
      <c r="B26" s="40" t="s">
        <v>16</v>
      </c>
      <c r="C26" s="5">
        <f>SUM(C23:C25)</f>
        <v>171.73403697478989</v>
      </c>
      <c r="D26" s="47">
        <f>F26/C26/1000</f>
        <v>3.6155575018913352E-2</v>
      </c>
      <c r="E26" s="48">
        <f>G26/F26</f>
        <v>0.61385974599668691</v>
      </c>
      <c r="F26" s="5">
        <f>SUM(F23:F25)</f>
        <v>6209.142857142856</v>
      </c>
      <c r="G26" s="5">
        <f>SUM(G23:G25)</f>
        <v>3811.5428571428565</v>
      </c>
      <c r="H26" s="200">
        <f>SUM(H23:H25)</f>
        <v>2397.5999999999995</v>
      </c>
      <c r="I26" s="5">
        <f>SUM(I23:I25)</f>
        <v>165.52489411764705</v>
      </c>
      <c r="J26" s="55">
        <f>K26/G26/H12</f>
        <v>1.4306474768372763</v>
      </c>
      <c r="K26" s="200">
        <f>SUM(K23:K25)</f>
        <v>76341.638399999996</v>
      </c>
      <c r="L26" s="222"/>
      <c r="M26" s="222"/>
      <c r="N26" s="222"/>
      <c r="O26" s="222"/>
      <c r="P26" s="54"/>
      <c r="Q26" s="54"/>
    </row>
    <row r="27" spans="2:17" ht="14.4" thickTop="1" thickBot="1">
      <c r="B27" s="28" t="s">
        <v>14</v>
      </c>
      <c r="C27" s="5">
        <f>C22-C26</f>
        <v>1.7012571428571732</v>
      </c>
      <c r="D27" s="47">
        <f t="shared" ref="D27:I27" si="0">D22-D26</f>
        <v>3.2342593479255138E-2</v>
      </c>
      <c r="E27" s="56">
        <f>(G22-G26)/G22</f>
        <v>0.5980402791336733</v>
      </c>
      <c r="F27" s="48">
        <f>(F22-F26)/F22</f>
        <v>0.47734487734487746</v>
      </c>
      <c r="G27" s="3">
        <f t="shared" si="0"/>
        <v>5670.8571428571449</v>
      </c>
      <c r="H27" s="3">
        <f t="shared" si="0"/>
        <v>0</v>
      </c>
      <c r="I27" s="3">
        <f t="shared" si="0"/>
        <v>-3.969600000000014</v>
      </c>
      <c r="J27" s="44">
        <f>K27/G27/H12</f>
        <v>1.6801692865779925</v>
      </c>
      <c r="K27" s="5">
        <f>SUM(K28:K30)</f>
        <v>133392.00000000003</v>
      </c>
      <c r="L27" s="5">
        <f>SUM(L28:L30)</f>
        <v>5219.6869565217403</v>
      </c>
      <c r="M27" s="32">
        <f>L27/G27</f>
        <v>0.92044056569055244</v>
      </c>
      <c r="N27" s="32">
        <f>SUM(N28:N30)</f>
        <v>11671.800000000003</v>
      </c>
      <c r="O27" s="5">
        <f>L27/I3*1000</f>
        <v>28.998260869565222</v>
      </c>
      <c r="P27" s="54"/>
      <c r="Q27" s="54"/>
    </row>
    <row r="28" spans="2:17" ht="14.1" thickTop="1">
      <c r="B28" s="28" t="s">
        <v>17</v>
      </c>
      <c r="C28" s="3">
        <f>C19-C23</f>
        <v>0.71999999999998465</v>
      </c>
      <c r="D28" s="56">
        <f>D19-D23</f>
        <v>2.7591036414565829E-2</v>
      </c>
      <c r="E28" s="56">
        <f>(G19-G23)/G19</f>
        <v>0.69444444444444442</v>
      </c>
      <c r="F28" s="56">
        <f>(F19-F23)/F19</f>
        <v>0.55555555555555558</v>
      </c>
      <c r="G28" s="3">
        <f>G19-G23</f>
        <v>2400</v>
      </c>
      <c r="H28" s="3"/>
      <c r="I28" s="3">
        <f>I19-I23</f>
        <v>-1.6800000000000068</v>
      </c>
      <c r="J28" s="57">
        <f>J19</f>
        <v>1.6428571428571428</v>
      </c>
      <c r="K28" s="3">
        <f>G28*J28*H12</f>
        <v>55200</v>
      </c>
      <c r="L28" s="3">
        <f>K28/23*0.9</f>
        <v>2160</v>
      </c>
      <c r="M28" s="32">
        <f>L28/G28</f>
        <v>0.9</v>
      </c>
      <c r="N28" s="32">
        <f>K28*0.9*H11/3.6</f>
        <v>4830</v>
      </c>
      <c r="P28" s="54"/>
      <c r="Q28" s="54"/>
    </row>
    <row r="29" spans="2:17">
      <c r="B29" s="50" t="s">
        <v>18</v>
      </c>
      <c r="C29" s="4">
        <f t="shared" ref="C29:D30" si="1">C20-C24</f>
        <v>0.72205714285715317</v>
      </c>
      <c r="D29" s="58">
        <f t="shared" si="1"/>
        <v>3.1060544875030648E-2</v>
      </c>
      <c r="E29" s="58">
        <f t="shared" ref="E29:E30" si="2">(G20-G24)/G20</f>
        <v>0.47619047619047639</v>
      </c>
      <c r="F29" s="58">
        <f t="shared" ref="F29:F30" si="3">(F20-F24)/F20</f>
        <v>0.37142857142857161</v>
      </c>
      <c r="G29" s="4">
        <f t="shared" ref="G29:I30" si="4">G20-G24</f>
        <v>2406.857142857144</v>
      </c>
      <c r="H29" s="4"/>
      <c r="I29" s="4">
        <f t="shared" si="4"/>
        <v>-1.6847999999999956</v>
      </c>
      <c r="J29" s="59">
        <f>J20</f>
        <v>1.5</v>
      </c>
      <c r="K29" s="51">
        <f>G29*J29*H12</f>
        <v>50544.000000000022</v>
      </c>
      <c r="L29" s="51">
        <f>K29/23*0.9</f>
        <v>1977.8086956521749</v>
      </c>
      <c r="M29" s="60">
        <f>L29/G29</f>
        <v>0.82173913043478264</v>
      </c>
      <c r="N29" s="60">
        <f>K29*0.9*H11/3.6</f>
        <v>4422.6000000000013</v>
      </c>
      <c r="P29" s="54"/>
      <c r="Q29" s="54"/>
    </row>
    <row r="30" spans="2:17" ht="14.1" thickBot="1">
      <c r="B30" s="40" t="s">
        <v>19</v>
      </c>
      <c r="C30" s="5">
        <f t="shared" si="1"/>
        <v>0.25920000000000165</v>
      </c>
      <c r="D30" s="47">
        <f t="shared" si="1"/>
        <v>7.9508196721311486E-2</v>
      </c>
      <c r="E30" s="47">
        <f t="shared" si="2"/>
        <v>0.88888888888888884</v>
      </c>
      <c r="F30" s="47">
        <f t="shared" si="3"/>
        <v>0.8</v>
      </c>
      <c r="G30" s="5">
        <f t="shared" si="4"/>
        <v>864</v>
      </c>
      <c r="H30" s="5"/>
      <c r="I30" s="5">
        <f t="shared" si="4"/>
        <v>-0.60479999999999912</v>
      </c>
      <c r="J30" s="61">
        <f>J21</f>
        <v>2.2857142857142856</v>
      </c>
      <c r="K30" s="5">
        <f>G30*J30*H12</f>
        <v>27647.999999999996</v>
      </c>
      <c r="L30" s="5">
        <f>K30/23*0.9</f>
        <v>1081.8782608695651</v>
      </c>
      <c r="M30" s="44">
        <f>L30/G30</f>
        <v>1.2521739130434781</v>
      </c>
      <c r="N30" s="44">
        <f>K30*0.9*H11/3.6</f>
        <v>2419.1999999999998</v>
      </c>
      <c r="P30" s="54"/>
      <c r="Q30" s="54"/>
    </row>
    <row r="31" spans="2:17" ht="14.4" thickTop="1" thickBot="1">
      <c r="B31" s="40" t="s">
        <v>25</v>
      </c>
      <c r="C31" s="5">
        <f>F31/D31/1000</f>
        <v>28.218214285714279</v>
      </c>
      <c r="D31" s="62">
        <v>0.2</v>
      </c>
      <c r="E31" s="276">
        <f>G31/F31</f>
        <v>0.67536925238257972</v>
      </c>
      <c r="F31" s="5">
        <f>H31+G31</f>
        <v>5643.642857142856</v>
      </c>
      <c r="G31" s="5">
        <f>G26</f>
        <v>3811.5428571428565</v>
      </c>
      <c r="H31" s="200">
        <f>H26-M16</f>
        <v>1832.0999999999995</v>
      </c>
      <c r="I31" s="5">
        <f>C31-F31/1000</f>
        <v>22.574571428571424</v>
      </c>
      <c r="J31" s="5">
        <f>K31/G31/H12</f>
        <v>1.4306474768372763</v>
      </c>
      <c r="K31" s="5">
        <f>K26</f>
        <v>76341.638399999996</v>
      </c>
      <c r="L31" s="16">
        <f>K31/F31*0.9</f>
        <v>12.174312992368154</v>
      </c>
      <c r="M31" s="14" t="s">
        <v>28</v>
      </c>
      <c r="N31" s="16">
        <f>N27/24</f>
        <v>486.3250000000001</v>
      </c>
      <c r="O31" s="14" t="s">
        <v>6</v>
      </c>
    </row>
    <row r="32" spans="2:17" ht="14.4" thickTop="1" thickBot="1">
      <c r="B32" s="103" t="s">
        <v>46</v>
      </c>
      <c r="C32" s="103"/>
      <c r="D32" s="103"/>
      <c r="E32" s="103"/>
      <c r="F32" s="103"/>
      <c r="G32" s="104"/>
      <c r="H32" s="54"/>
      <c r="I32" s="12"/>
      <c r="J32" s="22"/>
      <c r="K32" s="223" t="s">
        <v>37</v>
      </c>
      <c r="L32" s="223"/>
      <c r="M32" s="223"/>
      <c r="N32" s="68">
        <f>N27*I13</f>
        <v>4085.1300000000006</v>
      </c>
      <c r="O32" s="69" t="s">
        <v>38</v>
      </c>
    </row>
    <row r="33" spans="1:16">
      <c r="B33" s="246" t="s">
        <v>90</v>
      </c>
      <c r="C33" s="247"/>
      <c r="D33" s="247"/>
      <c r="E33" s="247"/>
      <c r="F33" s="94"/>
      <c r="G33" s="105">
        <f>I15*G9</f>
        <v>11100</v>
      </c>
      <c r="H33" s="106" t="s">
        <v>50</v>
      </c>
      <c r="I33" s="12"/>
      <c r="J33" s="22"/>
      <c r="K33" s="233" t="s">
        <v>44</v>
      </c>
      <c r="L33" s="233"/>
      <c r="M33" s="233"/>
      <c r="N33" s="67">
        <f>N27*I14</f>
        <v>2334.3600000000006</v>
      </c>
      <c r="O33" s="70" t="s">
        <v>38</v>
      </c>
    </row>
    <row r="34" spans="1:16" ht="14.1" thickBot="1">
      <c r="B34" s="234" t="s">
        <v>97</v>
      </c>
      <c r="C34" s="235"/>
      <c r="D34" s="235"/>
      <c r="E34" s="235"/>
      <c r="F34" s="236"/>
      <c r="G34" s="108">
        <f>N27/G33</f>
        <v>1.0515135135135139</v>
      </c>
      <c r="H34" s="109"/>
      <c r="J34" s="198"/>
      <c r="K34" s="237" t="s">
        <v>43</v>
      </c>
      <c r="L34" s="237"/>
      <c r="M34" s="237"/>
      <c r="N34" s="195">
        <f>365*(N32+N33)</f>
        <v>2343113.8500000006</v>
      </c>
      <c r="O34" s="195" t="s">
        <v>41</v>
      </c>
    </row>
    <row r="35" spans="1:16" ht="33.6" thickTop="1" thickBot="1">
      <c r="B35" s="238" t="s">
        <v>82</v>
      </c>
      <c r="C35" s="239"/>
      <c r="D35" s="112" t="s">
        <v>81</v>
      </c>
      <c r="E35" s="113" t="s">
        <v>85</v>
      </c>
      <c r="F35" s="238" t="s">
        <v>87</v>
      </c>
      <c r="G35" s="239"/>
      <c r="H35" s="239"/>
      <c r="I35" s="240"/>
      <c r="J35" s="12"/>
      <c r="K35" s="241" t="s">
        <v>88</v>
      </c>
      <c r="L35" s="241"/>
      <c r="M35" s="241"/>
      <c r="N35" s="116">
        <f>N34/(G10*365)</f>
        <v>0.44425536332179943</v>
      </c>
      <c r="O35" s="196" t="s">
        <v>89</v>
      </c>
    </row>
    <row r="36" spans="1:16" ht="14.1" thickBot="1">
      <c r="B36" s="262" t="s">
        <v>86</v>
      </c>
      <c r="C36" s="54"/>
      <c r="D36" s="114">
        <v>35</v>
      </c>
      <c r="E36" s="115">
        <v>1.5</v>
      </c>
      <c r="F36" s="242" t="s">
        <v>92</v>
      </c>
      <c r="G36" s="243"/>
      <c r="H36" s="193" t="s">
        <v>93</v>
      </c>
      <c r="I36" s="115">
        <v>5</v>
      </c>
      <c r="J36" s="12"/>
      <c r="K36" s="237" t="s">
        <v>153</v>
      </c>
      <c r="L36" s="237"/>
      <c r="M36" s="237"/>
      <c r="N36" s="5">
        <f>C31*365/I3*1000</f>
        <v>57.220267857142844</v>
      </c>
      <c r="O36" s="249" t="s">
        <v>154</v>
      </c>
      <c r="P36" s="249"/>
    </row>
    <row r="37" spans="1:16" ht="14.4" thickTop="1" thickBot="1">
      <c r="B37" s="194" t="s">
        <v>84</v>
      </c>
      <c r="C37" s="96" t="s">
        <v>83</v>
      </c>
      <c r="D37" s="101">
        <f>D36*C22</f>
        <v>6070.2352941176468</v>
      </c>
      <c r="E37" s="102">
        <f>G22/E36</f>
        <v>6321.6000000000013</v>
      </c>
      <c r="F37" s="244" t="s">
        <v>91</v>
      </c>
      <c r="G37" s="245"/>
      <c r="H37" s="110" t="s">
        <v>94</v>
      </c>
      <c r="I37" s="111">
        <f>L27/24*8</f>
        <v>1739.8956521739135</v>
      </c>
      <c r="J37" s="12"/>
      <c r="K37" s="66"/>
    </row>
    <row r="38" spans="1:16" ht="14.1" thickBot="1">
      <c r="B38" s="277" t="s">
        <v>96</v>
      </c>
      <c r="C38" s="278"/>
      <c r="D38" s="279">
        <f>N27/24*1.25</f>
        <v>607.90625000000011</v>
      </c>
      <c r="E38" s="118" t="s">
        <v>95</v>
      </c>
      <c r="F38" s="82"/>
      <c r="G38" s="23"/>
      <c r="H38" s="54"/>
      <c r="I38" s="65"/>
      <c r="J38" s="12"/>
      <c r="K38" s="64"/>
      <c r="L38" s="23"/>
    </row>
    <row r="39" spans="1:16">
      <c r="A39" s="54"/>
      <c r="B39" s="12"/>
      <c r="C39" s="184"/>
      <c r="D39" s="99"/>
      <c r="E39" s="82"/>
      <c r="F39" s="82"/>
      <c r="G39" s="23"/>
    </row>
    <row r="40" spans="1:16">
      <c r="A40" s="54"/>
      <c r="B40" s="54"/>
      <c r="C40" s="54"/>
      <c r="D40" s="54"/>
      <c r="E40" s="23"/>
      <c r="F40" s="23"/>
      <c r="G40" s="23"/>
    </row>
    <row r="41" spans="1:16">
      <c r="A41" s="204"/>
      <c r="B41" s="207"/>
      <c r="C41" s="207"/>
      <c r="D41" s="207"/>
      <c r="E41" s="23"/>
      <c r="F41" s="23"/>
      <c r="G41" s="23"/>
      <c r="H41" s="23"/>
    </row>
    <row r="42" spans="1:16">
      <c r="A42" s="204"/>
      <c r="B42" s="207"/>
      <c r="C42" s="192"/>
      <c r="D42" s="192"/>
      <c r="E42" s="23"/>
      <c r="F42" s="23"/>
      <c r="G42" s="23"/>
      <c r="H42" s="23"/>
    </row>
    <row r="43" spans="1:16" ht="14.1" thickBot="1">
      <c r="A43" s="192"/>
      <c r="B43" s="82"/>
      <c r="C43" s="192"/>
      <c r="D43" s="192"/>
      <c r="E43" s="23"/>
      <c r="F43" s="23"/>
      <c r="G43" s="5"/>
      <c r="H43" s="23"/>
      <c r="J43" s="23"/>
    </row>
    <row r="44" spans="1:16" ht="14.1" thickTop="1">
      <c r="A44" s="192"/>
      <c r="B44" s="82"/>
      <c r="C44" s="192"/>
      <c r="D44" s="192"/>
      <c r="E44" s="23"/>
      <c r="F44" s="23"/>
      <c r="G44" s="23"/>
      <c r="H44" s="23"/>
    </row>
    <row r="45" spans="1:16">
      <c r="A45" s="192"/>
      <c r="B45" s="82"/>
      <c r="C45" s="192"/>
      <c r="D45" s="192"/>
      <c r="E45" s="23"/>
      <c r="F45" s="23"/>
      <c r="G45" s="23"/>
      <c r="H45" s="23"/>
    </row>
    <row r="46" spans="1:16">
      <c r="A46" s="192"/>
      <c r="B46" s="82"/>
      <c r="C46" s="192"/>
      <c r="D46" s="192"/>
      <c r="E46" s="23"/>
      <c r="F46" s="23"/>
      <c r="G46" s="23"/>
      <c r="H46" s="23"/>
    </row>
    <row r="47" spans="1:16">
      <c r="A47" s="192"/>
      <c r="B47" s="82"/>
      <c r="C47" s="192"/>
      <c r="D47" s="192"/>
      <c r="E47" s="23"/>
      <c r="F47" s="23"/>
      <c r="G47" s="23"/>
      <c r="H47" s="23"/>
    </row>
    <row r="48" spans="1:16">
      <c r="A48" s="192"/>
      <c r="B48" s="280"/>
      <c r="C48" s="192"/>
      <c r="D48" s="192"/>
      <c r="E48" s="23"/>
      <c r="F48" s="23"/>
      <c r="G48" s="23"/>
      <c r="H48" s="23"/>
    </row>
    <row r="49" spans="1:10">
      <c r="A49" s="281"/>
      <c r="B49" s="281"/>
      <c r="C49" s="192"/>
      <c r="D49" s="192"/>
      <c r="E49" s="83"/>
      <c r="G49" s="23"/>
      <c r="H49" s="23"/>
    </row>
    <row r="50" spans="1:10">
      <c r="A50" s="281"/>
      <c r="B50" s="281"/>
      <c r="C50" s="192"/>
      <c r="D50" s="192"/>
      <c r="E50" s="23"/>
      <c r="F50" s="23"/>
      <c r="G50" s="23"/>
      <c r="H50" s="23"/>
    </row>
    <row r="51" spans="1:10">
      <c r="A51" s="54"/>
      <c r="B51" s="54"/>
      <c r="C51" s="54"/>
      <c r="D51" s="54"/>
    </row>
    <row r="52" spans="1:10">
      <c r="H52" s="174" t="s">
        <v>137</v>
      </c>
    </row>
    <row r="53" spans="1:10">
      <c r="H53" s="23">
        <f>217.4-132-70.5</f>
        <v>14.900000000000006</v>
      </c>
      <c r="I53" s="23" t="s">
        <v>138</v>
      </c>
    </row>
    <row r="54" spans="1:10" ht="14.1" thickBot="1">
      <c r="H54" s="16">
        <f>K27/891.4*74.9/1000</f>
        <v>11.208280008974651</v>
      </c>
      <c r="I54" s="23" t="s">
        <v>138</v>
      </c>
      <c r="J54" s="23" t="s">
        <v>139</v>
      </c>
    </row>
    <row r="55" spans="1:10" ht="14.1" thickTop="1"/>
    <row r="66" spans="4:8" ht="11.25" customHeight="1"/>
    <row r="67" spans="4:8" hidden="1"/>
    <row r="68" spans="4:8" ht="35.25" customHeight="1">
      <c r="D68" s="250" t="s">
        <v>136</v>
      </c>
      <c r="E68" s="251"/>
      <c r="F68" s="251"/>
      <c r="G68" s="251"/>
      <c r="H68" s="251"/>
    </row>
    <row r="69" spans="4:8" ht="15">
      <c r="D69" s="173"/>
      <c r="F69" s="175" t="s">
        <v>140</v>
      </c>
    </row>
    <row r="70" spans="4:8">
      <c r="D70" s="173"/>
    </row>
  </sheetData>
  <mergeCells count="34">
    <mergeCell ref="A49:B49"/>
    <mergeCell ref="A50:B50"/>
    <mergeCell ref="D68:H68"/>
    <mergeCell ref="O36:P36"/>
    <mergeCell ref="F37:G37"/>
    <mergeCell ref="B38:C38"/>
    <mergeCell ref="A41:A42"/>
    <mergeCell ref="B41:B42"/>
    <mergeCell ref="C41:D41"/>
    <mergeCell ref="B34:F34"/>
    <mergeCell ref="K34:M34"/>
    <mergeCell ref="B35:C35"/>
    <mergeCell ref="F35:I35"/>
    <mergeCell ref="K35:M35"/>
    <mergeCell ref="F36:G36"/>
    <mergeCell ref="K36:M36"/>
    <mergeCell ref="M23:M26"/>
    <mergeCell ref="N23:N26"/>
    <mergeCell ref="O23:O26"/>
    <mergeCell ref="K32:M32"/>
    <mergeCell ref="B33:E33"/>
    <mergeCell ref="K33:M33"/>
    <mergeCell ref="B12:D12"/>
    <mergeCell ref="B13:D13"/>
    <mergeCell ref="B14:D14"/>
    <mergeCell ref="B15:D15"/>
    <mergeCell ref="B16:D16"/>
    <mergeCell ref="L23:L26"/>
    <mergeCell ref="B1:N1"/>
    <mergeCell ref="E3:H3"/>
    <mergeCell ref="H8:J8"/>
    <mergeCell ref="L8:M8"/>
    <mergeCell ref="D11:E11"/>
    <mergeCell ref="I11:J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0"/>
  <sheetViews>
    <sheetView topLeftCell="A4" zoomScale="90" zoomScaleNormal="90" workbookViewId="0">
      <selection activeCell="E21" sqref="E21"/>
    </sheetView>
  </sheetViews>
  <sheetFormatPr defaultColWidth="9" defaultRowHeight="13.8"/>
  <cols>
    <col min="1" max="1" width="10.47265625" style="2" customWidth="1"/>
    <col min="2" max="2" width="26.140625" style="2" customWidth="1"/>
    <col min="3" max="4" width="9" style="2"/>
    <col min="5" max="5" width="9.37890625" style="2" customWidth="1"/>
    <col min="6" max="6" width="11.85546875" style="2" bestFit="1" customWidth="1"/>
    <col min="7" max="7" width="10.47265625" style="2" bestFit="1" customWidth="1"/>
    <col min="8" max="10" width="9" style="2"/>
    <col min="11" max="12" width="9.37890625" style="2" customWidth="1"/>
    <col min="13" max="13" width="9.37890625" style="2" bestFit="1" customWidth="1"/>
    <col min="14" max="14" width="9" style="2" customWidth="1"/>
    <col min="15" max="15" width="4.37890625" style="2" customWidth="1"/>
    <col min="16" max="16384" width="9" style="2"/>
  </cols>
  <sheetData>
    <row r="1" spans="2:14">
      <c r="B1" s="224" t="s">
        <v>62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4" ht="14.1" thickBot="1">
      <c r="B2" s="23" t="s">
        <v>42</v>
      </c>
    </row>
    <row r="3" spans="2:14" ht="14.1" thickBot="1">
      <c r="B3" s="176" t="s">
        <v>67</v>
      </c>
      <c r="C3" s="94"/>
      <c r="D3" s="94"/>
      <c r="E3" s="259" t="s">
        <v>58</v>
      </c>
      <c r="F3" s="259"/>
      <c r="G3" s="259"/>
      <c r="H3" s="260"/>
      <c r="I3" s="81">
        <v>210000</v>
      </c>
      <c r="J3" s="177" t="s">
        <v>59</v>
      </c>
    </row>
    <row r="4" spans="2:14" ht="27" customHeight="1" thickBot="1">
      <c r="B4" s="89" t="s">
        <v>68</v>
      </c>
      <c r="C4" s="90" t="s">
        <v>65</v>
      </c>
      <c r="D4" s="91" t="s">
        <v>75</v>
      </c>
      <c r="E4" s="91" t="s">
        <v>74</v>
      </c>
      <c r="F4" s="91" t="s">
        <v>72</v>
      </c>
      <c r="G4" s="91" t="s">
        <v>73</v>
      </c>
      <c r="H4" s="92" t="s">
        <v>166</v>
      </c>
      <c r="I4" s="54"/>
      <c r="J4" s="109"/>
    </row>
    <row r="5" spans="2:14">
      <c r="B5" s="178" t="s">
        <v>69</v>
      </c>
      <c r="C5" s="78" t="s">
        <v>7</v>
      </c>
      <c r="D5" s="179">
        <f>0.4*D7</f>
        <v>5040</v>
      </c>
      <c r="E5" s="179">
        <f>0.55*E7</f>
        <v>9240</v>
      </c>
      <c r="F5" s="179">
        <f>0.4*F7</f>
        <v>5040</v>
      </c>
      <c r="G5" s="84">
        <v>7300</v>
      </c>
      <c r="H5" s="180">
        <f>G5/G7</f>
        <v>0.42941176470588233</v>
      </c>
      <c r="I5" s="54"/>
      <c r="J5" s="109"/>
    </row>
    <row r="6" spans="2:14">
      <c r="B6" s="178" t="s">
        <v>70</v>
      </c>
      <c r="C6" s="78" t="s">
        <v>7</v>
      </c>
      <c r="D6" s="179">
        <f>0.45*D7</f>
        <v>5670</v>
      </c>
      <c r="E6" s="179">
        <f>0.6*E7</f>
        <v>10080</v>
      </c>
      <c r="F6" s="179">
        <f>0.6*F7</f>
        <v>7560</v>
      </c>
      <c r="G6" s="84">
        <v>9700</v>
      </c>
      <c r="H6" s="180">
        <f>G6/G7</f>
        <v>0.57058823529411762</v>
      </c>
      <c r="I6" s="54"/>
      <c r="J6" s="109"/>
    </row>
    <row r="7" spans="2:14" ht="14.1" thickBot="1">
      <c r="B7" s="178" t="s">
        <v>71</v>
      </c>
      <c r="C7" s="78" t="s">
        <v>7</v>
      </c>
      <c r="D7" s="179">
        <f>I3*60/1000</f>
        <v>12600</v>
      </c>
      <c r="E7" s="179">
        <f>80*I3/1000</f>
        <v>16800</v>
      </c>
      <c r="F7" s="179">
        <f>60*I3/1000</f>
        <v>12600</v>
      </c>
      <c r="G7" s="100">
        <f>SUM(G5:G6)</f>
        <v>17000</v>
      </c>
      <c r="H7" s="54"/>
      <c r="I7" s="54"/>
      <c r="J7" s="109"/>
    </row>
    <row r="8" spans="2:14" ht="14.1" thickBot="1">
      <c r="B8" s="178" t="s">
        <v>66</v>
      </c>
      <c r="C8" s="78" t="s">
        <v>7</v>
      </c>
      <c r="D8" s="179">
        <f>0.0001</f>
        <v>1E-4</v>
      </c>
      <c r="E8" s="179">
        <f>0.1*E7</f>
        <v>1680</v>
      </c>
      <c r="F8" s="179">
        <f>5%*F7</f>
        <v>630</v>
      </c>
      <c r="G8" s="85">
        <v>500</v>
      </c>
      <c r="H8" s="225" t="s">
        <v>167</v>
      </c>
      <c r="I8" s="226"/>
      <c r="J8" s="227"/>
      <c r="L8" s="274" t="s">
        <v>165</v>
      </c>
      <c r="M8" s="275"/>
      <c r="N8" s="174"/>
    </row>
    <row r="9" spans="2:14" ht="14.1" thickBot="1">
      <c r="B9" s="178" t="s">
        <v>63</v>
      </c>
      <c r="C9" s="107" t="s">
        <v>76</v>
      </c>
      <c r="D9" s="179">
        <f>0.1*I3</f>
        <v>21000</v>
      </c>
      <c r="E9" s="179">
        <f>0.15*I3</f>
        <v>31500</v>
      </c>
      <c r="F9" s="179">
        <f>F10*1.2</f>
        <v>25200</v>
      </c>
      <c r="G9" s="181">
        <v>18500</v>
      </c>
      <c r="H9" s="95">
        <f>I3*120/G9</f>
        <v>1362.1621621621621</v>
      </c>
      <c r="I9" s="96" t="s">
        <v>77</v>
      </c>
      <c r="J9" s="97"/>
      <c r="L9" s="178" t="s">
        <v>168</v>
      </c>
      <c r="M9" s="268" t="s">
        <v>164</v>
      </c>
    </row>
    <row r="10" spans="2:14" ht="14.1">
      <c r="B10" s="182" t="s">
        <v>64</v>
      </c>
      <c r="C10" s="93" t="s">
        <v>76</v>
      </c>
      <c r="D10" s="179">
        <f>0.07*I3</f>
        <v>14700.000000000002</v>
      </c>
      <c r="E10" s="179">
        <f>0.125*I3</f>
        <v>26250</v>
      </c>
      <c r="F10" s="179">
        <f>0.1*I3</f>
        <v>21000</v>
      </c>
      <c r="G10" s="181">
        <v>15500</v>
      </c>
      <c r="H10" s="266">
        <f>(G9-G10)/G10</f>
        <v>0.19354838709677419</v>
      </c>
      <c r="I10" s="267" t="s">
        <v>156</v>
      </c>
      <c r="J10" s="109"/>
      <c r="L10" s="269" t="s">
        <v>157</v>
      </c>
      <c r="M10" s="270">
        <v>6000</v>
      </c>
      <c r="N10" s="80"/>
    </row>
    <row r="11" spans="2:14" ht="16.5" thickBot="1">
      <c r="B11" s="183" t="s">
        <v>80</v>
      </c>
      <c r="C11" s="54"/>
      <c r="D11" s="228" t="s">
        <v>27</v>
      </c>
      <c r="E11" s="228"/>
      <c r="F11" s="24" t="s">
        <v>28</v>
      </c>
      <c r="G11" s="184" t="s">
        <v>35</v>
      </c>
      <c r="H11" s="13">
        <v>0.35</v>
      </c>
      <c r="I11" s="252" t="s">
        <v>141</v>
      </c>
      <c r="J11" s="253"/>
      <c r="K11" s="1"/>
      <c r="L11" s="269" t="s">
        <v>158</v>
      </c>
      <c r="M11" s="270">
        <v>1500</v>
      </c>
    </row>
    <row r="12" spans="2:14" ht="14.4" thickTop="1" thickBot="1">
      <c r="B12" s="254" t="s">
        <v>60</v>
      </c>
      <c r="C12" s="229"/>
      <c r="D12" s="229"/>
      <c r="E12" s="6">
        <v>23</v>
      </c>
      <c r="F12" s="3">
        <f>K19/F19</f>
        <v>18.86</v>
      </c>
      <c r="G12" s="12" t="s">
        <v>29</v>
      </c>
      <c r="H12" s="10">
        <v>14</v>
      </c>
      <c r="I12" s="15" t="s">
        <v>11</v>
      </c>
      <c r="J12" s="109"/>
      <c r="K12" s="1"/>
      <c r="L12" s="269" t="s">
        <v>159</v>
      </c>
      <c r="M12" s="270">
        <v>150</v>
      </c>
    </row>
    <row r="13" spans="2:14" ht="14.1" thickTop="1">
      <c r="B13" s="255" t="s">
        <v>61</v>
      </c>
      <c r="C13" s="230"/>
      <c r="D13" s="230"/>
      <c r="E13" s="7">
        <v>21</v>
      </c>
      <c r="F13" s="4">
        <f>K20/F20</f>
        <v>17.219999999999995</v>
      </c>
      <c r="G13" s="12" t="s">
        <v>39</v>
      </c>
      <c r="H13" s="54"/>
      <c r="I13" s="13">
        <v>0.35</v>
      </c>
      <c r="J13" s="185" t="s">
        <v>40</v>
      </c>
      <c r="K13" s="1"/>
      <c r="L13" s="269" t="s">
        <v>160</v>
      </c>
      <c r="M13" s="270">
        <v>0</v>
      </c>
    </row>
    <row r="14" spans="2:14" ht="14.1" thickBot="1">
      <c r="B14" s="256" t="s">
        <v>135</v>
      </c>
      <c r="C14" s="231"/>
      <c r="D14" s="231"/>
      <c r="E14" s="8">
        <v>28</v>
      </c>
      <c r="F14" s="4">
        <f>K21/F21</f>
        <v>25.2</v>
      </c>
      <c r="G14" s="12" t="s">
        <v>44</v>
      </c>
      <c r="H14" s="54"/>
      <c r="I14" s="13">
        <v>0.2</v>
      </c>
      <c r="J14" s="185" t="s">
        <v>40</v>
      </c>
      <c r="K14" s="1"/>
      <c r="L14" s="269" t="s">
        <v>161</v>
      </c>
      <c r="M14" s="271">
        <f>SUM(M10:M13)</f>
        <v>7650</v>
      </c>
    </row>
    <row r="15" spans="2:14" ht="14.4" thickTop="1" thickBot="1">
      <c r="B15" s="257" t="s">
        <v>33</v>
      </c>
      <c r="C15" s="258"/>
      <c r="D15" s="258"/>
      <c r="E15" s="186">
        <f>K22/G22</f>
        <v>22.050868658790826</v>
      </c>
      <c r="F15" s="186">
        <f>K22/F22</f>
        <v>18.132114285714287</v>
      </c>
      <c r="G15" s="96" t="s">
        <v>79</v>
      </c>
      <c r="H15" s="187"/>
      <c r="I15" s="188">
        <v>0.6</v>
      </c>
      <c r="J15" s="189" t="s">
        <v>78</v>
      </c>
      <c r="L15" s="269" t="s">
        <v>163</v>
      </c>
      <c r="M15" s="272">
        <v>182</v>
      </c>
      <c r="N15" s="190">
        <f>C26-C31</f>
        <v>169.49763409371567</v>
      </c>
    </row>
    <row r="16" spans="2:14" ht="14.1" thickBot="1">
      <c r="B16" s="243"/>
      <c r="C16" s="243"/>
      <c r="D16" s="243"/>
      <c r="E16" s="27"/>
      <c r="F16" s="27"/>
      <c r="G16" s="23"/>
      <c r="I16" s="99"/>
      <c r="J16" s="21"/>
      <c r="L16" s="146" t="s">
        <v>162</v>
      </c>
      <c r="M16" s="273">
        <f>M14*M15/1000</f>
        <v>1392.3</v>
      </c>
      <c r="N16" s="191"/>
    </row>
    <row r="17" spans="2:17" ht="14.4" thickTop="1" thickBot="1">
      <c r="J17" s="74" t="s">
        <v>45</v>
      </c>
      <c r="K17" s="74" t="s">
        <v>12</v>
      </c>
      <c r="N17" s="75"/>
      <c r="O17" s="75"/>
      <c r="P17" s="75"/>
    </row>
    <row r="18" spans="2:17" ht="23.4" thickTop="1" thickBot="1">
      <c r="B18" s="26" t="s">
        <v>20</v>
      </c>
      <c r="C18" s="11" t="s">
        <v>8</v>
      </c>
      <c r="D18" s="11" t="s">
        <v>21</v>
      </c>
      <c r="E18" s="11" t="s">
        <v>22</v>
      </c>
      <c r="F18" s="11" t="s">
        <v>7</v>
      </c>
      <c r="G18" s="11" t="s">
        <v>13</v>
      </c>
      <c r="H18" s="11" t="s">
        <v>10</v>
      </c>
      <c r="I18" s="11" t="s">
        <v>9</v>
      </c>
      <c r="J18" s="76" t="s">
        <v>30</v>
      </c>
      <c r="K18" s="76" t="s">
        <v>26</v>
      </c>
      <c r="L18" s="11" t="s">
        <v>23</v>
      </c>
      <c r="M18" s="11" t="s">
        <v>31</v>
      </c>
      <c r="P18" s="27"/>
    </row>
    <row r="19" spans="2:17" ht="14.1" thickTop="1">
      <c r="B19" s="28" t="s">
        <v>0</v>
      </c>
      <c r="C19" s="3">
        <f>F19/D19/1000</f>
        <v>112.30769230769229</v>
      </c>
      <c r="D19" s="29">
        <v>6.5000000000000002E-2</v>
      </c>
      <c r="E19" s="30">
        <v>0.82</v>
      </c>
      <c r="F19" s="86">
        <f>G5</f>
        <v>7300</v>
      </c>
      <c r="G19" s="3">
        <f>F19*E19</f>
        <v>5986</v>
      </c>
      <c r="H19" s="3">
        <f>F19-G19</f>
        <v>1314</v>
      </c>
      <c r="I19" s="3">
        <f>C19-F19/1000</f>
        <v>105.0076923076923</v>
      </c>
      <c r="J19" s="32">
        <f>K19/G19/H12</f>
        <v>1.6428571428571428</v>
      </c>
      <c r="K19" s="3">
        <f>G19*E12</f>
        <v>137678</v>
      </c>
      <c r="L19" s="33">
        <f>F19/F22</f>
        <v>0.41714285714285715</v>
      </c>
      <c r="M19" s="33">
        <f>L28/L27</f>
        <v>0.50861461336205549</v>
      </c>
      <c r="P19" s="27"/>
    </row>
    <row r="20" spans="2:17">
      <c r="B20" s="34" t="s">
        <v>1</v>
      </c>
      <c r="C20" s="4">
        <f>F20/D20/1000</f>
        <v>103.19148936170212</v>
      </c>
      <c r="D20" s="35">
        <v>9.4E-2</v>
      </c>
      <c r="E20" s="36">
        <v>0.82</v>
      </c>
      <c r="F20" s="87">
        <f>G6</f>
        <v>9700</v>
      </c>
      <c r="G20" s="4">
        <f>F20*E20</f>
        <v>7953.9999999999991</v>
      </c>
      <c r="H20" s="4">
        <f>F20-G20</f>
        <v>1746.0000000000009</v>
      </c>
      <c r="I20" s="4">
        <f>C20-F20/1000</f>
        <v>93.491489361702122</v>
      </c>
      <c r="J20" s="38">
        <f>K20/G20/H12</f>
        <v>1.5</v>
      </c>
      <c r="K20" s="4">
        <f>G20*E13</f>
        <v>167033.99999999997</v>
      </c>
      <c r="L20" s="39">
        <f>F20/F22</f>
        <v>0.55428571428571427</v>
      </c>
      <c r="M20" s="39">
        <f>L29/L27</f>
        <v>0.42347427693477346</v>
      </c>
      <c r="P20" s="27"/>
    </row>
    <row r="21" spans="2:17" ht="14.1" thickBot="1">
      <c r="B21" s="40" t="s">
        <v>2</v>
      </c>
      <c r="C21" s="5">
        <f>F21/D21/1000</f>
        <v>5</v>
      </c>
      <c r="D21" s="41">
        <v>0.1</v>
      </c>
      <c r="E21" s="42">
        <v>0.9</v>
      </c>
      <c r="F21" s="88">
        <f>G8</f>
        <v>500</v>
      </c>
      <c r="G21" s="5">
        <f>F21*E21</f>
        <v>450</v>
      </c>
      <c r="H21" s="5">
        <f>F21-G21</f>
        <v>50</v>
      </c>
      <c r="I21" s="5">
        <f>C21-F21/1000</f>
        <v>4.5</v>
      </c>
      <c r="J21" s="44">
        <f>K21/G21/H12</f>
        <v>2</v>
      </c>
      <c r="K21" s="5">
        <f>E14*G21</f>
        <v>12600</v>
      </c>
      <c r="L21" s="45">
        <f>F21/F22</f>
        <v>2.8571428571428571E-2</v>
      </c>
      <c r="M21" s="45">
        <f>L30/L27</f>
        <v>6.791110970317106E-2</v>
      </c>
      <c r="P21" s="27"/>
    </row>
    <row r="22" spans="2:17" ht="14.4" thickTop="1" thickBot="1">
      <c r="B22" s="40" t="s">
        <v>15</v>
      </c>
      <c r="C22" s="73">
        <f>C19+C20+C21</f>
        <v>220.49918166939443</v>
      </c>
      <c r="D22" s="47">
        <f>F22/C22/1000</f>
        <v>7.9365373909816295E-2</v>
      </c>
      <c r="E22" s="48">
        <f>G22/F22</f>
        <v>0.82228571428571429</v>
      </c>
      <c r="F22" s="5">
        <f>F19+F20+F21</f>
        <v>17500</v>
      </c>
      <c r="G22" s="5">
        <f>G19+G20+G21</f>
        <v>14390</v>
      </c>
      <c r="H22" s="73">
        <f>H19+H20+H21</f>
        <v>3110.0000000000009</v>
      </c>
      <c r="I22" s="5">
        <f>I19+I20+I21</f>
        <v>202.99918166939443</v>
      </c>
      <c r="J22" s="44">
        <f>K22/G22/H12</f>
        <v>1.5750620470564876</v>
      </c>
      <c r="K22" s="5">
        <f>SUM(K19:K21)</f>
        <v>317312</v>
      </c>
      <c r="L22" s="33">
        <f>SUM(L19:L21)</f>
        <v>1</v>
      </c>
      <c r="M22" s="33">
        <f>SUM(M19:M21)</f>
        <v>1</v>
      </c>
    </row>
    <row r="23" spans="2:17" ht="16.5" customHeight="1" thickTop="1">
      <c r="B23" s="28" t="s">
        <v>3</v>
      </c>
      <c r="C23" s="3">
        <f>I23+F23/1000</f>
        <v>111.24397802197801</v>
      </c>
      <c r="D23" s="49">
        <f>F23/C23/1000</f>
        <v>3.37482152386172E-2</v>
      </c>
      <c r="E23" s="30">
        <v>0.65</v>
      </c>
      <c r="F23" s="3">
        <f>H23/(100%-E23)</f>
        <v>3754.2857142857147</v>
      </c>
      <c r="G23" s="3">
        <f>F23-H23</f>
        <v>2440.2857142857147</v>
      </c>
      <c r="H23" s="3">
        <f>H19</f>
        <v>1314</v>
      </c>
      <c r="I23" s="3">
        <f>I19+(G19-G23)*0.7/1000</f>
        <v>107.48969230769229</v>
      </c>
      <c r="J23" s="263">
        <f>J19*(100%-8.4%)</f>
        <v>1.5048571428571429</v>
      </c>
      <c r="K23" s="3">
        <f>J23*G23*H12</f>
        <v>51411.939428571437</v>
      </c>
      <c r="L23" s="220" t="s">
        <v>32</v>
      </c>
      <c r="M23" s="220" t="s">
        <v>24</v>
      </c>
      <c r="N23" s="220" t="s">
        <v>34</v>
      </c>
      <c r="O23" s="220" t="s">
        <v>155</v>
      </c>
    </row>
    <row r="24" spans="2:17" ht="15" customHeight="1">
      <c r="B24" s="50" t="s">
        <v>4</v>
      </c>
      <c r="C24" s="51">
        <f>I24+F24/1000</f>
        <v>102.22148936170213</v>
      </c>
      <c r="D24" s="52">
        <f>F24/C24/1000</f>
        <v>6.3261323103842818E-2</v>
      </c>
      <c r="E24" s="53">
        <v>0.73</v>
      </c>
      <c r="F24" s="51">
        <f>H24/(100%-E24)</f>
        <v>6466.6666666666697</v>
      </c>
      <c r="G24" s="51">
        <f>F24-H24</f>
        <v>4720.6666666666688</v>
      </c>
      <c r="H24" s="4">
        <f>H20</f>
        <v>1746.0000000000009</v>
      </c>
      <c r="I24" s="51">
        <f>I20+(G20-G24)*0.7/1000</f>
        <v>95.754822695035458</v>
      </c>
      <c r="J24" s="264">
        <f>J20*(100%-8.4%)</f>
        <v>1.3740000000000001</v>
      </c>
      <c r="K24" s="4">
        <f>J24*G24*H12</f>
        <v>90806.74400000005</v>
      </c>
      <c r="L24" s="221"/>
      <c r="M24" s="221"/>
      <c r="N24" s="221"/>
      <c r="O24" s="221"/>
      <c r="P24" s="54"/>
      <c r="Q24" s="54"/>
    </row>
    <row r="25" spans="2:17" ht="14.1" thickBot="1">
      <c r="B25" s="40" t="s">
        <v>5</v>
      </c>
      <c r="C25" s="5">
        <f>I25+F25/1000</f>
        <v>4.8833333333333329</v>
      </c>
      <c r="D25" s="47">
        <f>F25/C25/1000</f>
        <v>2.2753128555176343E-2</v>
      </c>
      <c r="E25" s="42">
        <v>0.55000000000000004</v>
      </c>
      <c r="F25" s="5">
        <f>H25/(100%-E25)</f>
        <v>111.11111111111113</v>
      </c>
      <c r="G25" s="5">
        <f>F25-H25</f>
        <v>61.111111111111128</v>
      </c>
      <c r="H25" s="5">
        <f>H21</f>
        <v>50</v>
      </c>
      <c r="I25" s="5">
        <f>I21+(G21-G25)*0.7/1000</f>
        <v>4.7722222222222221</v>
      </c>
      <c r="J25" s="265">
        <f>J21*(100%-8.4%)</f>
        <v>1.8320000000000001</v>
      </c>
      <c r="K25" s="5">
        <f>J25*G25*H12</f>
        <v>1567.3777777777782</v>
      </c>
      <c r="L25" s="221"/>
      <c r="M25" s="221"/>
      <c r="N25" s="221"/>
      <c r="O25" s="221"/>
      <c r="P25" s="54"/>
      <c r="Q25" s="54"/>
    </row>
    <row r="26" spans="2:17" ht="14.4" thickTop="1" thickBot="1">
      <c r="B26" s="40" t="s">
        <v>16</v>
      </c>
      <c r="C26" s="5">
        <f>SUM(C23:C25)</f>
        <v>218.34880071701346</v>
      </c>
      <c r="D26" s="47">
        <f>F26/C26/1000</f>
        <v>4.7319075983632983E-2</v>
      </c>
      <c r="E26" s="48">
        <f>G26/F26</f>
        <v>0.69899526823572788</v>
      </c>
      <c r="F26" s="5">
        <f>SUM(F23:F25)</f>
        <v>10332.063492063497</v>
      </c>
      <c r="G26" s="5">
        <f>SUM(G23:G25)</f>
        <v>7222.0634920634948</v>
      </c>
      <c r="H26" s="73">
        <f>SUM(H23:H25)</f>
        <v>3110.0000000000009</v>
      </c>
      <c r="I26" s="5">
        <f>SUM(I23:I25)</f>
        <v>208.01673722494996</v>
      </c>
      <c r="J26" s="55">
        <f>K26/G26/H12</f>
        <v>1.4220912007485254</v>
      </c>
      <c r="K26" s="73">
        <f>SUM(K23:K25)</f>
        <v>143786.06120634929</v>
      </c>
      <c r="L26" s="222"/>
      <c r="M26" s="222"/>
      <c r="N26" s="222"/>
      <c r="O26" s="222"/>
      <c r="P26" s="54"/>
      <c r="Q26" s="54"/>
    </row>
    <row r="27" spans="2:17" ht="14.4" thickTop="1" thickBot="1">
      <c r="B27" s="28" t="s">
        <v>14</v>
      </c>
      <c r="C27" s="5">
        <f>C22-C26</f>
        <v>2.1503809523809707</v>
      </c>
      <c r="D27" s="47">
        <f t="shared" ref="D27:I27" si="0">D22-D26</f>
        <v>3.2046297926183312E-2</v>
      </c>
      <c r="E27" s="56">
        <f>(G22-G26)/G22</f>
        <v>0.49811928477668554</v>
      </c>
      <c r="F27" s="48">
        <f>(F22-F26)/F22</f>
        <v>0.40959637188208592</v>
      </c>
      <c r="G27" s="3">
        <f t="shared" si="0"/>
        <v>7167.9365079365052</v>
      </c>
      <c r="H27" s="3">
        <f t="shared" si="0"/>
        <v>0</v>
      </c>
      <c r="I27" s="3">
        <f t="shared" si="0"/>
        <v>-5.017555555555532</v>
      </c>
      <c r="J27" s="44">
        <f>K27/G27/H12</f>
        <v>1.5977931453373235</v>
      </c>
      <c r="K27" s="5">
        <f>SUM(K28:K30)</f>
        <v>160340.3174603174</v>
      </c>
      <c r="L27" s="5">
        <f>SUM(L28:L30)</f>
        <v>6274.1863354037241</v>
      </c>
      <c r="M27" s="32">
        <f>L27/G27</f>
        <v>0.87531276657609891</v>
      </c>
      <c r="N27" s="32">
        <f>SUM(N28:N30)</f>
        <v>14029.77777777777</v>
      </c>
      <c r="O27" s="5">
        <f>L27/I3*1000</f>
        <v>29.877077787636782</v>
      </c>
      <c r="P27" s="54"/>
      <c r="Q27" s="54"/>
    </row>
    <row r="28" spans="2:17" ht="14.1" thickTop="1">
      <c r="B28" s="28" t="s">
        <v>17</v>
      </c>
      <c r="C28" s="3">
        <f>C19-C23</f>
        <v>1.0637142857142834</v>
      </c>
      <c r="D28" s="56">
        <f>D19-D23</f>
        <v>3.1251784761382802E-2</v>
      </c>
      <c r="E28" s="56">
        <f>(G19-G23)/G19</f>
        <v>0.59233449477351907</v>
      </c>
      <c r="F28" s="56">
        <f>(F19-F23)/F19</f>
        <v>0.48571428571428565</v>
      </c>
      <c r="G28" s="3">
        <f>G19-G23</f>
        <v>3545.7142857142853</v>
      </c>
      <c r="H28" s="3"/>
      <c r="I28" s="3">
        <f>I19-I23</f>
        <v>-2.4819999999999993</v>
      </c>
      <c r="J28" s="57">
        <f>J19</f>
        <v>1.6428571428571428</v>
      </c>
      <c r="K28" s="3">
        <f>G28*J28*H12</f>
        <v>81551.428571428565</v>
      </c>
      <c r="L28" s="3">
        <f>K28/23*0.9</f>
        <v>3191.1428571428569</v>
      </c>
      <c r="M28" s="32">
        <f>L28/G28</f>
        <v>0.9</v>
      </c>
      <c r="N28" s="32">
        <f>K28*0.9*H11/3.6</f>
        <v>7135.7499999999991</v>
      </c>
      <c r="P28" s="54"/>
      <c r="Q28" s="54"/>
    </row>
    <row r="29" spans="2:17">
      <c r="B29" s="50" t="s">
        <v>18</v>
      </c>
      <c r="C29" s="4">
        <f t="shared" ref="C29:D30" si="1">C20-C24</f>
        <v>0.96999999999999886</v>
      </c>
      <c r="D29" s="58">
        <f t="shared" si="1"/>
        <v>3.0738676896157183E-2</v>
      </c>
      <c r="E29" s="58">
        <f t="shared" ref="E29:E30" si="2">(G20-G24)/G20</f>
        <v>0.40650406504065006</v>
      </c>
      <c r="F29" s="58">
        <f t="shared" ref="F29:F30" si="3">(F20-F24)/F20</f>
        <v>0.33333333333333304</v>
      </c>
      <c r="G29" s="4">
        <f t="shared" ref="G29:I30" si="4">G20-G24</f>
        <v>3233.3333333333303</v>
      </c>
      <c r="H29" s="4"/>
      <c r="I29" s="4">
        <f t="shared" si="4"/>
        <v>-2.2633333333333354</v>
      </c>
      <c r="J29" s="59">
        <f>J20</f>
        <v>1.5</v>
      </c>
      <c r="K29" s="51">
        <f>G29*J29*H12</f>
        <v>67899.999999999942</v>
      </c>
      <c r="L29" s="51">
        <f>K29/23*0.9</f>
        <v>2656.9565217391282</v>
      </c>
      <c r="M29" s="60">
        <f>L29/G29</f>
        <v>0.82173913043478275</v>
      </c>
      <c r="N29" s="60">
        <f>K29*0.9*H11/3.6</f>
        <v>5941.2499999999945</v>
      </c>
      <c r="P29" s="54"/>
      <c r="Q29" s="54"/>
    </row>
    <row r="30" spans="2:17" ht="14.1" thickBot="1">
      <c r="B30" s="40" t="s">
        <v>19</v>
      </c>
      <c r="C30" s="5">
        <f t="shared" si="1"/>
        <v>0.11666666666666714</v>
      </c>
      <c r="D30" s="47">
        <f t="shared" si="1"/>
        <v>7.7246871444823659E-2</v>
      </c>
      <c r="E30" s="47">
        <f t="shared" si="2"/>
        <v>0.86419753086419748</v>
      </c>
      <c r="F30" s="47">
        <f t="shared" si="3"/>
        <v>0.77777777777777768</v>
      </c>
      <c r="G30" s="5">
        <f t="shared" si="4"/>
        <v>388.88888888888886</v>
      </c>
      <c r="H30" s="5"/>
      <c r="I30" s="5">
        <f t="shared" si="4"/>
        <v>-0.27222222222222214</v>
      </c>
      <c r="J30" s="61">
        <f>J21</f>
        <v>2</v>
      </c>
      <c r="K30" s="5">
        <f>G30*J30*H12</f>
        <v>10888.888888888889</v>
      </c>
      <c r="L30" s="5">
        <f>K30/23*0.9</f>
        <v>426.08695652173913</v>
      </c>
      <c r="M30" s="44">
        <f>L30/G30</f>
        <v>1.0956521739130436</v>
      </c>
      <c r="N30" s="44">
        <f>K30*0.9*H11/3.6</f>
        <v>952.77777777777771</v>
      </c>
      <c r="P30" s="54"/>
      <c r="Q30" s="54"/>
    </row>
    <row r="31" spans="2:17" ht="14.4" thickTop="1" thickBot="1">
      <c r="B31" s="40" t="s">
        <v>25</v>
      </c>
      <c r="C31" s="5">
        <f>F31/D31/1000</f>
        <v>48.851166623297786</v>
      </c>
      <c r="D31" s="62">
        <v>0.183</v>
      </c>
      <c r="E31" s="276">
        <f>G31/F31</f>
        <v>0.80785845156586822</v>
      </c>
      <c r="F31" s="5">
        <f>H31+G31</f>
        <v>8939.7634920634955</v>
      </c>
      <c r="G31" s="5">
        <f>G26</f>
        <v>7222.0634920634948</v>
      </c>
      <c r="H31" s="73">
        <f>H26-M16</f>
        <v>1717.700000000001</v>
      </c>
      <c r="I31" s="5">
        <f>C31-F31/1000</f>
        <v>39.911403131234295</v>
      </c>
      <c r="J31" s="5">
        <f>K31/G31/H12</f>
        <v>1.4220912007485254</v>
      </c>
      <c r="K31" s="5">
        <f>K26</f>
        <v>143786.06120634929</v>
      </c>
      <c r="L31" s="16">
        <f>K31/F31*0.9</f>
        <v>14.475489782319091</v>
      </c>
      <c r="M31" s="14" t="s">
        <v>28</v>
      </c>
      <c r="N31" s="16">
        <f>N27/24</f>
        <v>584.57407407407379</v>
      </c>
      <c r="O31" s="14" t="s">
        <v>6</v>
      </c>
    </row>
    <row r="32" spans="2:17" ht="14.4" thickTop="1" thickBot="1">
      <c r="B32" s="103" t="s">
        <v>46</v>
      </c>
      <c r="C32" s="103"/>
      <c r="D32" s="103"/>
      <c r="E32" s="103"/>
      <c r="F32" s="103"/>
      <c r="G32" s="104"/>
      <c r="H32" s="54"/>
      <c r="I32" s="12"/>
      <c r="J32" s="22"/>
      <c r="K32" s="223" t="s">
        <v>37</v>
      </c>
      <c r="L32" s="223"/>
      <c r="M32" s="223"/>
      <c r="N32" s="68">
        <f>N27*I13</f>
        <v>4910.4222222222188</v>
      </c>
      <c r="O32" s="69" t="s">
        <v>38</v>
      </c>
    </row>
    <row r="33" spans="1:16">
      <c r="B33" s="246" t="s">
        <v>90</v>
      </c>
      <c r="C33" s="247"/>
      <c r="D33" s="247"/>
      <c r="E33" s="247"/>
      <c r="F33" s="94"/>
      <c r="G33" s="105">
        <f>I15*G9</f>
        <v>11100</v>
      </c>
      <c r="H33" s="106" t="s">
        <v>50</v>
      </c>
      <c r="I33" s="12"/>
      <c r="J33" s="22"/>
      <c r="K33" s="233" t="s">
        <v>44</v>
      </c>
      <c r="L33" s="233"/>
      <c r="M33" s="233"/>
      <c r="N33" s="67">
        <f>N27*I14</f>
        <v>2805.9555555555544</v>
      </c>
      <c r="O33" s="70" t="s">
        <v>38</v>
      </c>
    </row>
    <row r="34" spans="1:16" ht="14.1" thickBot="1">
      <c r="B34" s="234" t="s">
        <v>97</v>
      </c>
      <c r="C34" s="235"/>
      <c r="D34" s="235"/>
      <c r="E34" s="235"/>
      <c r="F34" s="236"/>
      <c r="G34" s="108">
        <f>N27/G33</f>
        <v>1.2639439439439433</v>
      </c>
      <c r="H34" s="109"/>
      <c r="J34" s="75"/>
      <c r="K34" s="237" t="s">
        <v>43</v>
      </c>
      <c r="L34" s="237"/>
      <c r="M34" s="237"/>
      <c r="N34" s="72">
        <f>365*(N32+N33)</f>
        <v>2816477.8888888871</v>
      </c>
      <c r="O34" s="72" t="s">
        <v>41</v>
      </c>
    </row>
    <row r="35" spans="1:16" ht="33.6" thickTop="1" thickBot="1">
      <c r="B35" s="238" t="s">
        <v>82</v>
      </c>
      <c r="C35" s="239"/>
      <c r="D35" s="112" t="s">
        <v>81</v>
      </c>
      <c r="E35" s="113" t="s">
        <v>85</v>
      </c>
      <c r="F35" s="238" t="s">
        <v>87</v>
      </c>
      <c r="G35" s="239"/>
      <c r="H35" s="239"/>
      <c r="I35" s="240"/>
      <c r="J35" s="12"/>
      <c r="K35" s="241" t="s">
        <v>88</v>
      </c>
      <c r="L35" s="241"/>
      <c r="M35" s="241"/>
      <c r="N35" s="116">
        <f>N34/(G10*365)</f>
        <v>0.49783082437275955</v>
      </c>
      <c r="O35" s="117" t="s">
        <v>89</v>
      </c>
    </row>
    <row r="36" spans="1:16" ht="14.1" thickBot="1">
      <c r="B36" s="262" t="s">
        <v>86</v>
      </c>
      <c r="C36" s="54"/>
      <c r="D36" s="114">
        <v>35</v>
      </c>
      <c r="E36" s="115">
        <v>1.5</v>
      </c>
      <c r="F36" s="242" t="s">
        <v>92</v>
      </c>
      <c r="G36" s="243"/>
      <c r="H36" s="98" t="s">
        <v>93</v>
      </c>
      <c r="I36" s="115">
        <v>5</v>
      </c>
      <c r="J36" s="12"/>
      <c r="K36" s="237" t="s">
        <v>153</v>
      </c>
      <c r="L36" s="237"/>
      <c r="M36" s="237"/>
      <c r="N36" s="5">
        <f>C31*365/I3*1000</f>
        <v>84.907980083350921</v>
      </c>
      <c r="O36" s="249" t="s">
        <v>154</v>
      </c>
      <c r="P36" s="249"/>
    </row>
    <row r="37" spans="1:16" ht="14.4" thickTop="1" thickBot="1">
      <c r="B37" s="194" t="s">
        <v>84</v>
      </c>
      <c r="C37" s="96" t="s">
        <v>83</v>
      </c>
      <c r="D37" s="101">
        <f>D36*C22</f>
        <v>7717.4713584288047</v>
      </c>
      <c r="E37" s="102">
        <f>G22/E36</f>
        <v>9593.3333333333339</v>
      </c>
      <c r="F37" s="244" t="s">
        <v>91</v>
      </c>
      <c r="G37" s="245"/>
      <c r="H37" s="110" t="s">
        <v>94</v>
      </c>
      <c r="I37" s="111">
        <f>L27/24*8</f>
        <v>2091.3954451345749</v>
      </c>
      <c r="J37" s="12"/>
      <c r="K37" s="66"/>
    </row>
    <row r="38" spans="1:16" ht="14.1" thickBot="1">
      <c r="B38" s="277" t="s">
        <v>96</v>
      </c>
      <c r="C38" s="278"/>
      <c r="D38" s="279">
        <f>N27/24*1.25</f>
        <v>730.71759259259227</v>
      </c>
      <c r="E38" s="118" t="s">
        <v>95</v>
      </c>
      <c r="F38" s="82"/>
      <c r="G38" s="23"/>
      <c r="H38" s="54"/>
      <c r="I38" s="65"/>
      <c r="J38" s="12"/>
      <c r="K38" s="64"/>
      <c r="L38" s="23"/>
    </row>
    <row r="39" spans="1:16">
      <c r="A39" s="54"/>
      <c r="B39" s="12"/>
      <c r="C39" s="184"/>
      <c r="D39" s="99"/>
      <c r="E39" s="82"/>
      <c r="F39" s="82"/>
      <c r="G39" s="23"/>
    </row>
    <row r="40" spans="1:16">
      <c r="A40" s="54"/>
      <c r="B40" s="54"/>
      <c r="C40" s="54"/>
      <c r="D40" s="54"/>
      <c r="E40" s="23"/>
      <c r="F40" s="23"/>
      <c r="G40" s="23"/>
    </row>
    <row r="41" spans="1:16">
      <c r="A41" s="204"/>
      <c r="B41" s="207"/>
      <c r="C41" s="207"/>
      <c r="D41" s="207"/>
      <c r="E41" s="23"/>
      <c r="F41" s="23"/>
      <c r="G41" s="23"/>
      <c r="H41" s="23"/>
    </row>
    <row r="42" spans="1:16">
      <c r="A42" s="204"/>
      <c r="B42" s="207"/>
      <c r="C42" s="192"/>
      <c r="D42" s="192"/>
      <c r="E42" s="23"/>
      <c r="F42" s="23"/>
      <c r="G42" s="23"/>
      <c r="H42" s="23"/>
    </row>
    <row r="43" spans="1:16" ht="14.1" thickBot="1">
      <c r="A43" s="192"/>
      <c r="B43" s="82"/>
      <c r="C43" s="192"/>
      <c r="D43" s="192"/>
      <c r="E43" s="23"/>
      <c r="F43" s="23"/>
      <c r="G43" s="5"/>
      <c r="H43" s="23"/>
      <c r="J43" s="23"/>
    </row>
    <row r="44" spans="1:16" ht="14.1" thickTop="1">
      <c r="A44" s="192"/>
      <c r="B44" s="82"/>
      <c r="C44" s="192"/>
      <c r="D44" s="192"/>
      <c r="E44" s="23"/>
      <c r="F44" s="23"/>
      <c r="G44" s="23"/>
      <c r="H44" s="23"/>
    </row>
    <row r="45" spans="1:16">
      <c r="A45" s="192"/>
      <c r="B45" s="82"/>
      <c r="C45" s="192"/>
      <c r="D45" s="192"/>
      <c r="E45" s="23"/>
      <c r="F45" s="23"/>
      <c r="G45" s="23"/>
      <c r="H45" s="23"/>
    </row>
    <row r="46" spans="1:16">
      <c r="A46" s="192"/>
      <c r="B46" s="82"/>
      <c r="C46" s="192"/>
      <c r="D46" s="192"/>
      <c r="E46" s="23"/>
      <c r="F46" s="23"/>
      <c r="G46" s="23"/>
      <c r="H46" s="23"/>
    </row>
    <row r="47" spans="1:16">
      <c r="A47" s="192"/>
      <c r="B47" s="82"/>
      <c r="C47" s="192"/>
      <c r="D47" s="192"/>
      <c r="E47" s="23"/>
      <c r="F47" s="23"/>
      <c r="G47" s="23"/>
      <c r="H47" s="23"/>
    </row>
    <row r="48" spans="1:16">
      <c r="A48" s="192"/>
      <c r="B48" s="280"/>
      <c r="C48" s="192"/>
      <c r="D48" s="192"/>
      <c r="E48" s="23"/>
      <c r="F48" s="23"/>
      <c r="G48" s="23"/>
      <c r="H48" s="23"/>
    </row>
    <row r="49" spans="1:10">
      <c r="A49" s="281"/>
      <c r="B49" s="281"/>
      <c r="C49" s="192"/>
      <c r="D49" s="192"/>
      <c r="E49" s="83"/>
      <c r="G49" s="23"/>
      <c r="H49" s="23"/>
    </row>
    <row r="50" spans="1:10">
      <c r="A50" s="281"/>
      <c r="B50" s="281"/>
      <c r="C50" s="192"/>
      <c r="D50" s="192"/>
      <c r="E50" s="23"/>
      <c r="F50" s="23"/>
      <c r="G50" s="23"/>
      <c r="H50" s="23"/>
    </row>
    <row r="51" spans="1:10">
      <c r="A51" s="54"/>
      <c r="B51" s="54"/>
      <c r="C51" s="54"/>
      <c r="D51" s="54"/>
    </row>
    <row r="52" spans="1:10">
      <c r="H52" s="174" t="s">
        <v>137</v>
      </c>
    </row>
    <row r="53" spans="1:10">
      <c r="H53" s="23">
        <f>217.4-132-70.5</f>
        <v>14.900000000000006</v>
      </c>
      <c r="I53" s="23" t="s">
        <v>138</v>
      </c>
    </row>
    <row r="54" spans="1:10" ht="14.1" thickBot="1">
      <c r="H54" s="16">
        <f>K27/891.4*74.9/1000</f>
        <v>13.472615860194946</v>
      </c>
      <c r="I54" s="23" t="s">
        <v>138</v>
      </c>
      <c r="J54" s="23" t="s">
        <v>139</v>
      </c>
    </row>
    <row r="55" spans="1:10" ht="14.1" thickTop="1"/>
    <row r="66" spans="4:8" ht="11.25" customHeight="1"/>
    <row r="67" spans="4:8" hidden="1"/>
    <row r="68" spans="4:8" ht="35.25" customHeight="1">
      <c r="D68" s="250" t="s">
        <v>136</v>
      </c>
      <c r="E68" s="251"/>
      <c r="F68" s="251"/>
      <c r="G68" s="251"/>
      <c r="H68" s="251"/>
    </row>
    <row r="69" spans="4:8" ht="15">
      <c r="D69" s="173"/>
      <c r="F69" s="175" t="s">
        <v>140</v>
      </c>
    </row>
    <row r="70" spans="4:8">
      <c r="D70" s="173"/>
    </row>
  </sheetData>
  <mergeCells count="34">
    <mergeCell ref="K35:M35"/>
    <mergeCell ref="F36:G36"/>
    <mergeCell ref="B35:C35"/>
    <mergeCell ref="M23:M26"/>
    <mergeCell ref="N23:N26"/>
    <mergeCell ref="K32:M32"/>
    <mergeCell ref="B33:E33"/>
    <mergeCell ref="K33:M33"/>
    <mergeCell ref="B34:F34"/>
    <mergeCell ref="K34:M34"/>
    <mergeCell ref="L23:L26"/>
    <mergeCell ref="K36:M36"/>
    <mergeCell ref="B14:D14"/>
    <mergeCell ref="B15:D15"/>
    <mergeCell ref="B1:N1"/>
    <mergeCell ref="E3:H3"/>
    <mergeCell ref="H8:J8"/>
    <mergeCell ref="L8:M8"/>
    <mergeCell ref="O36:P36"/>
    <mergeCell ref="O23:O26"/>
    <mergeCell ref="D68:H68"/>
    <mergeCell ref="I11:J11"/>
    <mergeCell ref="B16:D16"/>
    <mergeCell ref="F37:G37"/>
    <mergeCell ref="F35:I35"/>
    <mergeCell ref="B38:C38"/>
    <mergeCell ref="A49:B49"/>
    <mergeCell ref="A50:B50"/>
    <mergeCell ref="A41:A42"/>
    <mergeCell ref="B41:B42"/>
    <mergeCell ref="C41:D41"/>
    <mergeCell ref="D11:E11"/>
    <mergeCell ref="B12:D12"/>
    <mergeCell ref="B13:D1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38"/>
  <sheetViews>
    <sheetView topLeftCell="B1" zoomScale="110" zoomScaleNormal="110" workbookViewId="0">
      <selection activeCell="F6" sqref="F6"/>
    </sheetView>
  </sheetViews>
  <sheetFormatPr defaultColWidth="9" defaultRowHeight="13.8"/>
  <cols>
    <col min="1" max="1" width="9" style="2"/>
    <col min="2" max="2" width="24.140625" style="2" customWidth="1"/>
    <col min="3" max="4" width="9" style="2"/>
    <col min="5" max="5" width="9.37890625" style="2" customWidth="1"/>
    <col min="6" max="10" width="9" style="2"/>
    <col min="11" max="12" width="9.37890625" style="2" customWidth="1"/>
    <col min="13" max="13" width="9" style="2"/>
    <col min="14" max="14" width="9" style="2" customWidth="1"/>
    <col min="15" max="15" width="4.37890625" style="2" customWidth="1"/>
    <col min="16" max="16384" width="9" style="2"/>
  </cols>
  <sheetData>
    <row r="1" spans="2:17">
      <c r="B1" s="2" t="s">
        <v>49</v>
      </c>
    </row>
    <row r="2" spans="2:17">
      <c r="B2" s="23" t="s">
        <v>42</v>
      </c>
    </row>
    <row r="3" spans="2:17" ht="16.5" thickBot="1">
      <c r="D3" s="228" t="s">
        <v>27</v>
      </c>
      <c r="E3" s="228"/>
      <c r="F3" s="24" t="s">
        <v>28</v>
      </c>
      <c r="G3" s="25" t="s">
        <v>35</v>
      </c>
      <c r="H3" s="13">
        <v>0.38</v>
      </c>
      <c r="I3" s="12" t="s">
        <v>36</v>
      </c>
      <c r="J3" s="1"/>
      <c r="K3" s="1"/>
    </row>
    <row r="4" spans="2:17" ht="14.4" thickTop="1" thickBot="1">
      <c r="B4" s="229" t="s">
        <v>0</v>
      </c>
      <c r="C4" s="229"/>
      <c r="D4" s="229"/>
      <c r="E4" s="6">
        <v>23</v>
      </c>
      <c r="F4" s="3">
        <f>K10/F10</f>
        <v>17.25</v>
      </c>
      <c r="G4" s="12" t="s">
        <v>29</v>
      </c>
      <c r="H4" s="10">
        <v>14</v>
      </c>
      <c r="I4" s="15" t="s">
        <v>11</v>
      </c>
      <c r="K4" s="1"/>
    </row>
    <row r="5" spans="2:17" ht="14.1" thickTop="1">
      <c r="B5" s="230" t="s">
        <v>1</v>
      </c>
      <c r="C5" s="230"/>
      <c r="D5" s="230"/>
      <c r="E5" s="7">
        <v>18</v>
      </c>
      <c r="F5" s="4">
        <f>K11/F11</f>
        <v>13.5</v>
      </c>
      <c r="G5" s="12" t="s">
        <v>39</v>
      </c>
      <c r="I5" s="13">
        <v>0.35</v>
      </c>
      <c r="J5" s="21" t="s">
        <v>40</v>
      </c>
      <c r="K5" s="1"/>
    </row>
    <row r="6" spans="2:17" ht="14.1" thickBot="1">
      <c r="B6" s="231" t="s">
        <v>2</v>
      </c>
      <c r="C6" s="231"/>
      <c r="D6" s="231"/>
      <c r="E6" s="8">
        <v>30</v>
      </c>
      <c r="F6" s="5">
        <f>K12/F12</f>
        <v>27</v>
      </c>
      <c r="G6" s="12" t="s">
        <v>44</v>
      </c>
      <c r="I6" s="13">
        <v>0.25</v>
      </c>
      <c r="J6" s="21" t="s">
        <v>40</v>
      </c>
      <c r="K6" s="1"/>
    </row>
    <row r="7" spans="2:17" ht="14.4" thickTop="1" thickBot="1">
      <c r="B7" s="232" t="s">
        <v>33</v>
      </c>
      <c r="C7" s="232"/>
      <c r="D7" s="232"/>
      <c r="E7" s="9">
        <f>K13/G13</f>
        <v>21.517857142857142</v>
      </c>
      <c r="F7" s="9">
        <f>K13/F13</f>
        <v>16.431818181818183</v>
      </c>
    </row>
    <row r="8" spans="2:17" ht="14.4" thickTop="1" thickBot="1">
      <c r="J8" s="17" t="s">
        <v>45</v>
      </c>
      <c r="K8" s="17" t="s">
        <v>12</v>
      </c>
      <c r="N8" s="18"/>
      <c r="O8" s="18"/>
      <c r="P8" s="18"/>
    </row>
    <row r="9" spans="2:17" ht="23.4" thickTop="1" thickBot="1">
      <c r="B9" s="26" t="s">
        <v>20</v>
      </c>
      <c r="C9" s="11" t="s">
        <v>8</v>
      </c>
      <c r="D9" s="11" t="s">
        <v>21</v>
      </c>
      <c r="E9" s="11" t="s">
        <v>22</v>
      </c>
      <c r="F9" s="11" t="s">
        <v>7</v>
      </c>
      <c r="G9" s="11" t="s">
        <v>13</v>
      </c>
      <c r="H9" s="11" t="s">
        <v>10</v>
      </c>
      <c r="I9" s="11" t="s">
        <v>9</v>
      </c>
      <c r="J9" s="19" t="s">
        <v>30</v>
      </c>
      <c r="K9" s="19" t="s">
        <v>26</v>
      </c>
      <c r="L9" s="11" t="s">
        <v>23</v>
      </c>
      <c r="M9" s="11" t="s">
        <v>31</v>
      </c>
      <c r="P9" s="27"/>
    </row>
    <row r="10" spans="2:17" ht="14.1" thickTop="1">
      <c r="B10" s="28" t="s">
        <v>0</v>
      </c>
      <c r="C10" s="3">
        <f>F10/D10/1000</f>
        <v>60</v>
      </c>
      <c r="D10" s="29">
        <v>0.05</v>
      </c>
      <c r="E10" s="30">
        <v>0.75</v>
      </c>
      <c r="F10" s="31">
        <v>3000</v>
      </c>
      <c r="G10" s="3">
        <f>F10*E10</f>
        <v>2250</v>
      </c>
      <c r="H10" s="3">
        <f>F10-G10</f>
        <v>750</v>
      </c>
      <c r="I10" s="3">
        <f>C10-F10/1000</f>
        <v>57</v>
      </c>
      <c r="J10" s="32">
        <f>K10/G10/H4</f>
        <v>1.6428571428571428</v>
      </c>
      <c r="K10" s="3">
        <f>G10*E4</f>
        <v>51750</v>
      </c>
      <c r="L10" s="33">
        <f>F10/F13</f>
        <v>0.45454545454545453</v>
      </c>
      <c r="M10" s="33">
        <f>L19/L18</f>
        <v>0.46787213432353886</v>
      </c>
      <c r="P10" s="27"/>
    </row>
    <row r="11" spans="2:17">
      <c r="B11" s="34" t="s">
        <v>1</v>
      </c>
      <c r="C11" s="4">
        <f>F11/D11/1000</f>
        <v>60</v>
      </c>
      <c r="D11" s="35">
        <v>0.05</v>
      </c>
      <c r="E11" s="36">
        <v>0.75</v>
      </c>
      <c r="F11" s="37">
        <v>3000</v>
      </c>
      <c r="G11" s="4">
        <f>F11*E11</f>
        <v>2250</v>
      </c>
      <c r="H11" s="4">
        <f>F11-G11</f>
        <v>750</v>
      </c>
      <c r="I11" s="4">
        <f>C11-F11/1000</f>
        <v>57</v>
      </c>
      <c r="J11" s="38">
        <f>K11/G11/H4</f>
        <v>1.2857142857142858</v>
      </c>
      <c r="K11" s="4">
        <f>G11*E5</f>
        <v>40500</v>
      </c>
      <c r="L11" s="39">
        <f>F11/F13</f>
        <v>0.45454545454545453</v>
      </c>
      <c r="M11" s="39">
        <f>L20/L18</f>
        <v>0.27897965773329031</v>
      </c>
      <c r="P11" s="27"/>
    </row>
    <row r="12" spans="2:17" ht="14.1" thickBot="1">
      <c r="B12" s="40" t="s">
        <v>2</v>
      </c>
      <c r="C12" s="5">
        <f>F12/D12/1000</f>
        <v>4</v>
      </c>
      <c r="D12" s="41">
        <v>0.15</v>
      </c>
      <c r="E12" s="42">
        <v>0.9</v>
      </c>
      <c r="F12" s="43">
        <v>600</v>
      </c>
      <c r="G12" s="5">
        <f>F12*E12</f>
        <v>540</v>
      </c>
      <c r="H12" s="5">
        <f>F12-G12</f>
        <v>60</v>
      </c>
      <c r="I12" s="5">
        <f>C12-F12/1000</f>
        <v>3.4</v>
      </c>
      <c r="J12" s="44">
        <f>K12/G12/H4</f>
        <v>2.1428571428571428</v>
      </c>
      <c r="K12" s="5">
        <f>E6*G12</f>
        <v>16200</v>
      </c>
      <c r="L12" s="45">
        <f>F12/F13</f>
        <v>9.0909090909090912E-2</v>
      </c>
      <c r="M12" s="45">
        <f>L21/L18</f>
        <v>0.25314820794317083</v>
      </c>
      <c r="P12" s="27"/>
    </row>
    <row r="13" spans="2:17" ht="14.4" thickTop="1" thickBot="1">
      <c r="B13" s="40" t="s">
        <v>15</v>
      </c>
      <c r="C13" s="46">
        <f>C10+C11+C12</f>
        <v>124</v>
      </c>
      <c r="D13" s="47">
        <f>F13/C13/1000</f>
        <v>5.3225806451612907E-2</v>
      </c>
      <c r="E13" s="48">
        <f>G13/F13</f>
        <v>0.76363636363636367</v>
      </c>
      <c r="F13" s="5">
        <f>F10+F11+F12</f>
        <v>6600</v>
      </c>
      <c r="G13" s="5">
        <f>G10+G11+G12</f>
        <v>5040</v>
      </c>
      <c r="H13" s="46">
        <f>H10+H11+H12</f>
        <v>1560</v>
      </c>
      <c r="I13" s="5">
        <f>I10+I11+I12</f>
        <v>117.4</v>
      </c>
      <c r="J13" s="44">
        <f>K13/G13/14</f>
        <v>1.5369897959183674</v>
      </c>
      <c r="K13" s="5">
        <f>SUM(K10:K12)</f>
        <v>108450</v>
      </c>
      <c r="L13" s="33">
        <f>SUM(L10:L12)</f>
        <v>1</v>
      </c>
      <c r="M13" s="33">
        <f>SUM(M10:M12)</f>
        <v>1</v>
      </c>
    </row>
    <row r="14" spans="2:17" ht="16.5" customHeight="1" thickTop="1">
      <c r="B14" s="28" t="s">
        <v>3</v>
      </c>
      <c r="C14" s="3">
        <f>I14+F14/1000</f>
        <v>59.662500000000001</v>
      </c>
      <c r="D14" s="49">
        <f>F14/C14/1000</f>
        <v>3.1426775612822123E-2</v>
      </c>
      <c r="E14" s="30">
        <v>0.6</v>
      </c>
      <c r="F14" s="3">
        <f>H14/(100%-E14)</f>
        <v>1875</v>
      </c>
      <c r="G14" s="3">
        <f>F14-H14</f>
        <v>1125</v>
      </c>
      <c r="H14" s="3">
        <f>H10</f>
        <v>750</v>
      </c>
      <c r="I14" s="3">
        <f>I10+(G10-G14)*0.7/1000</f>
        <v>57.787500000000001</v>
      </c>
      <c r="J14" s="32">
        <f>J10</f>
        <v>1.6428571428571428</v>
      </c>
      <c r="K14" s="3">
        <f>K10-K19</f>
        <v>25875.000000000004</v>
      </c>
      <c r="L14" s="220" t="s">
        <v>32</v>
      </c>
      <c r="M14" s="220" t="s">
        <v>24</v>
      </c>
      <c r="N14" s="220" t="s">
        <v>34</v>
      </c>
    </row>
    <row r="15" spans="2:17" ht="15" customHeight="1">
      <c r="B15" s="50" t="s">
        <v>4</v>
      </c>
      <c r="C15" s="51">
        <f>I15+F15/1000</f>
        <v>59.742857142857147</v>
      </c>
      <c r="D15" s="52">
        <f>F15/C15/1000</f>
        <v>3.5868005738880916E-2</v>
      </c>
      <c r="E15" s="53">
        <v>0.65</v>
      </c>
      <c r="F15" s="51">
        <f>H15/(100%-E15)</f>
        <v>2142.8571428571431</v>
      </c>
      <c r="G15" s="51">
        <f>F15-H15</f>
        <v>1392.8571428571431</v>
      </c>
      <c r="H15" s="4">
        <f>H11</f>
        <v>750</v>
      </c>
      <c r="I15" s="51">
        <f>I11+(G11-G15)*0.7/1000</f>
        <v>57.6</v>
      </c>
      <c r="J15" s="38">
        <f>J11</f>
        <v>1.2857142857142858</v>
      </c>
      <c r="K15" s="4">
        <f>K11-K20</f>
        <v>25071.428571428572</v>
      </c>
      <c r="L15" s="221"/>
      <c r="M15" s="221"/>
      <c r="N15" s="221"/>
      <c r="P15" s="54"/>
      <c r="Q15" s="54"/>
    </row>
    <row r="16" spans="2:17" ht="14.1" thickBot="1">
      <c r="B16" s="40" t="s">
        <v>5</v>
      </c>
      <c r="C16" s="5">
        <f>I16+F16/1000</f>
        <v>3.86</v>
      </c>
      <c r="D16" s="47">
        <f>F16/C16/1000</f>
        <v>3.4542314335060456E-2</v>
      </c>
      <c r="E16" s="42">
        <v>0.55000000000000004</v>
      </c>
      <c r="F16" s="5">
        <f>H16/(100%-E16)</f>
        <v>133.33333333333334</v>
      </c>
      <c r="G16" s="5">
        <f>F16-H16</f>
        <v>73.333333333333343</v>
      </c>
      <c r="H16" s="5">
        <f>H12</f>
        <v>60</v>
      </c>
      <c r="I16" s="5">
        <f>I12+(G12-G16)*0.7/1000</f>
        <v>3.7266666666666666</v>
      </c>
      <c r="J16" s="44">
        <f>J12</f>
        <v>2.1428571428571428</v>
      </c>
      <c r="K16" s="5">
        <f>K12-K21</f>
        <v>2200.0000000000018</v>
      </c>
      <c r="L16" s="221"/>
      <c r="M16" s="221"/>
      <c r="N16" s="221"/>
      <c r="P16" s="54"/>
      <c r="Q16" s="54"/>
    </row>
    <row r="17" spans="2:17" ht="14.4" thickTop="1" thickBot="1">
      <c r="B17" s="40" t="s">
        <v>16</v>
      </c>
      <c r="C17" s="5">
        <f>SUM(C14:C16)</f>
        <v>123.26535714285716</v>
      </c>
      <c r="D17" s="47">
        <f>F17/C17/1000</f>
        <v>3.3676862440592252E-2</v>
      </c>
      <c r="E17" s="48">
        <f>G17/F17</f>
        <v>0.62420418698021229</v>
      </c>
      <c r="F17" s="5">
        <f>SUM(F14:F16)</f>
        <v>4151.1904761904761</v>
      </c>
      <c r="G17" s="5">
        <f>SUM(G14:G16)</f>
        <v>2591.1904761904766</v>
      </c>
      <c r="H17" s="46">
        <f>SUM(H14:H16)</f>
        <v>1560</v>
      </c>
      <c r="I17" s="5">
        <f>SUM(I14:I16)</f>
        <v>119.11416666666668</v>
      </c>
      <c r="J17" s="55">
        <f>K17/G17/H4</f>
        <v>1.4650306506871793</v>
      </c>
      <c r="K17" s="46">
        <f>K13-K18</f>
        <v>53146.42857142858</v>
      </c>
      <c r="L17" s="222"/>
      <c r="M17" s="222"/>
      <c r="N17" s="222"/>
      <c r="P17" s="54"/>
      <c r="Q17" s="54"/>
    </row>
    <row r="18" spans="2:17" ht="14.4" thickTop="1" thickBot="1">
      <c r="B18" s="28" t="s">
        <v>14</v>
      </c>
      <c r="C18" s="5">
        <f>C13-C17</f>
        <v>0.73464285714284472</v>
      </c>
      <c r="D18" s="47">
        <f t="shared" ref="D18:I18" si="0">D13-D17</f>
        <v>1.9548944011020655E-2</v>
      </c>
      <c r="E18" s="56">
        <f>(G13-G17)/G13</f>
        <v>0.48587490551776258</v>
      </c>
      <c r="F18" s="48">
        <f>(F13-F17)/F13</f>
        <v>0.37103174603174605</v>
      </c>
      <c r="G18" s="3">
        <f t="shared" si="0"/>
        <v>2448.8095238095234</v>
      </c>
      <c r="H18" s="3">
        <f t="shared" si="0"/>
        <v>0</v>
      </c>
      <c r="I18" s="3">
        <f t="shared" si="0"/>
        <v>-1.7141666666666708</v>
      </c>
      <c r="J18" s="44">
        <f>K18/G18/12.5</f>
        <v>1.8067087992221682</v>
      </c>
      <c r="K18" s="5">
        <f>SUM(K19:K21)</f>
        <v>55303.57142857142</v>
      </c>
      <c r="L18" s="5">
        <f>SUM(L19:L21)</f>
        <v>2164.0527950310557</v>
      </c>
      <c r="M18" s="32">
        <f>L18/G18</f>
        <v>0.88371626048910412</v>
      </c>
      <c r="N18" s="32">
        <f>SUM(N19:N21)</f>
        <v>5253.8392857142844</v>
      </c>
      <c r="P18" s="54"/>
      <c r="Q18" s="54"/>
    </row>
    <row r="19" spans="2:17" ht="14.1" thickTop="1">
      <c r="B19" s="28" t="s">
        <v>17</v>
      </c>
      <c r="C19" s="3">
        <f>C10-C14</f>
        <v>0.33749999999999858</v>
      </c>
      <c r="D19" s="56">
        <f>D10-D14</f>
        <v>1.8573224387177879E-2</v>
      </c>
      <c r="E19" s="56">
        <f>(G10-G14)/G10</f>
        <v>0.5</v>
      </c>
      <c r="F19" s="56">
        <f>(F10-F14)/F10</f>
        <v>0.375</v>
      </c>
      <c r="G19" s="3">
        <f>G10-G14</f>
        <v>1125</v>
      </c>
      <c r="H19" s="3">
        <f>H10-H14</f>
        <v>0</v>
      </c>
      <c r="I19" s="3">
        <f>I10-I14</f>
        <v>-0.78750000000000142</v>
      </c>
      <c r="J19" s="57">
        <f>J10</f>
        <v>1.6428571428571428</v>
      </c>
      <c r="K19" s="3">
        <f>G19*J19*H4</f>
        <v>25874.999999999996</v>
      </c>
      <c r="L19" s="3">
        <f>K19/23*0.9</f>
        <v>1012.4999999999998</v>
      </c>
      <c r="M19" s="32">
        <f>L19/G19</f>
        <v>0.8999999999999998</v>
      </c>
      <c r="N19" s="32">
        <f>K19*0.9*H3/3.6</f>
        <v>2458.1249999999995</v>
      </c>
      <c r="P19" s="54"/>
      <c r="Q19" s="54"/>
    </row>
    <row r="20" spans="2:17">
      <c r="B20" s="50" t="s">
        <v>18</v>
      </c>
      <c r="C20" s="4">
        <f t="shared" ref="C20:D20" si="1">C11-C15</f>
        <v>0.25714285714285268</v>
      </c>
      <c r="D20" s="58">
        <f t="shared" si="1"/>
        <v>1.4131994261119087E-2</v>
      </c>
      <c r="E20" s="58">
        <f t="shared" ref="E20:E21" si="2">(G11-G15)/G11</f>
        <v>0.38095238095238082</v>
      </c>
      <c r="F20" s="58">
        <f t="shared" ref="F20:F21" si="3">(F11-F15)/F11</f>
        <v>0.28571428571428564</v>
      </c>
      <c r="G20" s="4">
        <f t="shared" ref="G20:H21" si="4">G11-G15</f>
        <v>857.14285714285688</v>
      </c>
      <c r="H20" s="4">
        <f t="shared" si="4"/>
        <v>0</v>
      </c>
      <c r="I20" s="4">
        <f t="shared" ref="I20" si="5">I11-I15</f>
        <v>-0.60000000000000142</v>
      </c>
      <c r="J20" s="59">
        <f>J11</f>
        <v>1.2857142857142858</v>
      </c>
      <c r="K20" s="51">
        <f>G20*J20*H4</f>
        <v>15428.571428571426</v>
      </c>
      <c r="L20" s="51">
        <f>K20/23*0.9</f>
        <v>603.72670807453414</v>
      </c>
      <c r="M20" s="60">
        <f>L20/G20</f>
        <v>0.70434782608695667</v>
      </c>
      <c r="N20" s="60">
        <f>K20*0.9*H3/3.6</f>
        <v>1465.7142857142853</v>
      </c>
      <c r="P20" s="54"/>
      <c r="Q20" s="54"/>
    </row>
    <row r="21" spans="2:17" ht="14.1" thickBot="1">
      <c r="B21" s="40" t="s">
        <v>19</v>
      </c>
      <c r="C21" s="5">
        <f t="shared" ref="C21:D21" si="6">C12-C16</f>
        <v>0.14000000000000012</v>
      </c>
      <c r="D21" s="47">
        <f t="shared" si="6"/>
        <v>0.11545768566493954</v>
      </c>
      <c r="E21" s="47">
        <f t="shared" si="2"/>
        <v>0.86419753086419748</v>
      </c>
      <c r="F21" s="47">
        <f t="shared" si="3"/>
        <v>0.77777777777777768</v>
      </c>
      <c r="G21" s="5">
        <f t="shared" si="4"/>
        <v>466.66666666666663</v>
      </c>
      <c r="H21" s="5">
        <f t="shared" si="4"/>
        <v>0</v>
      </c>
      <c r="I21" s="5">
        <f t="shared" ref="I21" si="7">I12-I16</f>
        <v>-0.32666666666666666</v>
      </c>
      <c r="J21" s="61">
        <f>J12</f>
        <v>2.1428571428571428</v>
      </c>
      <c r="K21" s="5">
        <f>G21*J21*H4</f>
        <v>13999.999999999998</v>
      </c>
      <c r="L21" s="5">
        <f>K21/23*0.9</f>
        <v>547.82608695652175</v>
      </c>
      <c r="M21" s="44">
        <f>L21/G21</f>
        <v>1.173913043478261</v>
      </c>
      <c r="N21" s="44">
        <f>K21*0.9*H3/3.6</f>
        <v>1329.9999999999998</v>
      </c>
      <c r="P21" s="54"/>
      <c r="Q21" s="54"/>
    </row>
    <row r="22" spans="2:17" ht="14.4" thickTop="1" thickBot="1">
      <c r="B22" s="40" t="s">
        <v>25</v>
      </c>
      <c r="C22" s="5">
        <f>F22/D22/1000</f>
        <v>20.75595238095238</v>
      </c>
      <c r="D22" s="62">
        <v>0.2</v>
      </c>
      <c r="E22" s="48">
        <f>E17</f>
        <v>0.62420418698021229</v>
      </c>
      <c r="F22" s="5">
        <f>F17</f>
        <v>4151.1904761904761</v>
      </c>
      <c r="G22" s="5">
        <f>G17</f>
        <v>2591.1904761904766</v>
      </c>
      <c r="H22" s="46">
        <f>H17</f>
        <v>1560</v>
      </c>
      <c r="I22" s="5">
        <f>C22-F22/1000</f>
        <v>16.604761904761904</v>
      </c>
      <c r="J22" s="5">
        <f>K22/G22/H4</f>
        <v>1.4650306506871793</v>
      </c>
      <c r="K22" s="5">
        <f>K13-K18</f>
        <v>53146.42857142858</v>
      </c>
      <c r="L22" s="16">
        <f>K22/F22*0.9</f>
        <v>11.522426154287356</v>
      </c>
      <c r="M22" s="14" t="s">
        <v>28</v>
      </c>
      <c r="N22" s="16">
        <f>N18/24</f>
        <v>218.90997023809518</v>
      </c>
      <c r="O22" s="14" t="s">
        <v>6</v>
      </c>
    </row>
    <row r="23" spans="2:17" ht="14.1" thickTop="1">
      <c r="B23" s="28" t="s">
        <v>46</v>
      </c>
      <c r="C23" s="28"/>
      <c r="D23" s="28"/>
      <c r="E23" s="28"/>
      <c r="F23" s="28"/>
      <c r="G23" s="63"/>
      <c r="H23" s="54"/>
      <c r="I23" s="12"/>
      <c r="J23" s="22"/>
      <c r="K23" s="223" t="s">
        <v>37</v>
      </c>
      <c r="L23" s="223"/>
      <c r="M23" s="223"/>
      <c r="N23" s="68">
        <f>N18*I5</f>
        <v>1838.8437499999993</v>
      </c>
      <c r="O23" s="69" t="s">
        <v>38</v>
      </c>
    </row>
    <row r="24" spans="2:17">
      <c r="B24" s="248" t="s">
        <v>48</v>
      </c>
      <c r="C24" s="248"/>
      <c r="D24" s="248"/>
      <c r="E24" s="248"/>
      <c r="F24" s="23">
        <f>0.5*13500</f>
        <v>6750</v>
      </c>
      <c r="G24" s="23" t="s">
        <v>50</v>
      </c>
      <c r="H24" s="54"/>
      <c r="I24" s="12"/>
      <c r="J24" s="22"/>
      <c r="K24" s="233" t="s">
        <v>44</v>
      </c>
      <c r="L24" s="233"/>
      <c r="M24" s="233"/>
      <c r="N24" s="67">
        <f>N18*I6</f>
        <v>1313.4598214285711</v>
      </c>
      <c r="O24" s="70" t="s">
        <v>38</v>
      </c>
    </row>
    <row r="25" spans="2:17" ht="14.1" thickBot="1">
      <c r="B25" s="261" t="s">
        <v>47</v>
      </c>
      <c r="C25" s="261"/>
      <c r="D25" s="261"/>
      <c r="E25" s="261"/>
      <c r="F25" s="261"/>
      <c r="G25" s="71">
        <f>N18/F24</f>
        <v>0.77834656084656062</v>
      </c>
      <c r="H25" s="54"/>
      <c r="J25" s="18"/>
      <c r="K25" s="237" t="s">
        <v>43</v>
      </c>
      <c r="L25" s="237"/>
      <c r="M25" s="237"/>
      <c r="N25" s="20">
        <f>365*(N23+N24)</f>
        <v>1150590.8035714282</v>
      </c>
      <c r="O25" s="20" t="s">
        <v>41</v>
      </c>
    </row>
    <row r="26" spans="2:17" ht="14.1" thickTop="1">
      <c r="D26" s="12"/>
      <c r="E26" s="12"/>
      <c r="F26" s="12"/>
      <c r="G26" s="54"/>
      <c r="H26" s="54"/>
      <c r="I26" s="22"/>
      <c r="J26" s="12"/>
      <c r="K26" s="64"/>
    </row>
    <row r="27" spans="2:17">
      <c r="D27" s="22"/>
      <c r="E27" s="22"/>
      <c r="F27" s="22"/>
      <c r="G27" s="54"/>
      <c r="H27" s="54"/>
      <c r="I27" s="22"/>
      <c r="J27" s="12"/>
      <c r="K27" s="64"/>
    </row>
    <row r="28" spans="2:17">
      <c r="D28" s="22"/>
      <c r="E28" s="22"/>
      <c r="F28" s="22"/>
      <c r="G28" s="54"/>
      <c r="H28" s="54"/>
      <c r="I28" s="22"/>
      <c r="J28" s="12"/>
      <c r="K28" s="66"/>
    </row>
    <row r="29" spans="2:17">
      <c r="B29" s="23" t="s">
        <v>51</v>
      </c>
      <c r="C29" s="23" t="s">
        <v>52</v>
      </c>
      <c r="D29" s="23"/>
      <c r="E29" s="23"/>
      <c r="F29" s="23"/>
      <c r="G29" s="23"/>
      <c r="H29" s="54"/>
      <c r="I29" s="65"/>
      <c r="J29" s="12"/>
      <c r="K29" s="64"/>
    </row>
    <row r="30" spans="2:17">
      <c r="B30" s="23" t="s">
        <v>57</v>
      </c>
      <c r="C30" s="23">
        <v>68</v>
      </c>
      <c r="D30" s="23"/>
      <c r="E30" s="23"/>
      <c r="F30" s="23"/>
      <c r="G30" s="23"/>
    </row>
    <row r="31" spans="2:17">
      <c r="B31" s="23"/>
      <c r="C31" s="23"/>
      <c r="D31" s="23"/>
      <c r="E31" s="23"/>
      <c r="F31" s="23"/>
      <c r="G31" s="23"/>
    </row>
    <row r="32" spans="2:17">
      <c r="B32" s="23" t="s">
        <v>54</v>
      </c>
      <c r="C32" s="23">
        <v>63</v>
      </c>
      <c r="D32" s="23"/>
      <c r="E32" s="23"/>
      <c r="F32" s="23"/>
      <c r="G32" s="23"/>
    </row>
    <row r="33" spans="2:7">
      <c r="B33" s="23"/>
      <c r="C33" s="23"/>
      <c r="D33" s="23"/>
      <c r="E33" s="23"/>
      <c r="F33" s="23"/>
      <c r="G33" s="23"/>
    </row>
    <row r="34" spans="2:7">
      <c r="B34" s="77" t="s">
        <v>53</v>
      </c>
      <c r="C34" s="23">
        <v>58</v>
      </c>
      <c r="D34" s="23"/>
      <c r="E34" s="23"/>
      <c r="F34" s="23"/>
      <c r="G34" s="23"/>
    </row>
    <row r="35" spans="2:7">
      <c r="B35" s="23"/>
      <c r="C35" s="23"/>
      <c r="D35" s="23"/>
      <c r="E35" s="23"/>
      <c r="F35" s="23"/>
      <c r="G35" s="23"/>
    </row>
    <row r="36" spans="2:7">
      <c r="B36" s="23" t="s">
        <v>55</v>
      </c>
      <c r="C36" s="23">
        <v>58</v>
      </c>
      <c r="D36" s="23" t="s">
        <v>56</v>
      </c>
      <c r="E36" s="23"/>
      <c r="F36" s="23"/>
      <c r="G36" s="23"/>
    </row>
    <row r="37" spans="2:7">
      <c r="B37" s="23"/>
      <c r="C37" s="23"/>
      <c r="D37" s="23"/>
      <c r="E37" s="23"/>
      <c r="F37" s="23"/>
      <c r="G37" s="23"/>
    </row>
    <row r="38" spans="2:7">
      <c r="B38" s="23"/>
      <c r="C38" s="23"/>
      <c r="D38" s="23"/>
      <c r="E38" s="23"/>
      <c r="F38" s="23"/>
      <c r="G38" s="23"/>
    </row>
  </sheetData>
  <mergeCells count="13">
    <mergeCell ref="K23:M23"/>
    <mergeCell ref="K24:M24"/>
    <mergeCell ref="K25:M25"/>
    <mergeCell ref="B24:E24"/>
    <mergeCell ref="B25:F25"/>
    <mergeCell ref="D3:E3"/>
    <mergeCell ref="L14:L17"/>
    <mergeCell ref="M14:M17"/>
    <mergeCell ref="N14:N17"/>
    <mergeCell ref="B4:D4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C7" sqref="C7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OPIS ZADANIA</vt:lpstr>
      <vt:lpstr>TABELA WYNIKÓW</vt:lpstr>
      <vt:lpstr>MODEL PODSTAWOWY)</vt:lpstr>
      <vt:lpstr>MODEL DO ĆWICZEŃ</vt:lpstr>
      <vt:lpstr>PIERWOWZÓR</vt:lpstr>
      <vt:lpstr>Arkusz3</vt:lpstr>
      <vt:lpstr>'OPIS ZADANIA'!Obszar_wydruku</vt:lpstr>
      <vt:lpstr>'TABELA WYNIKÓW'!Obszar_wydruku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Wójtowicz</dc:creator>
  <cp:lastModifiedBy>Andrzej Wójtowicz</cp:lastModifiedBy>
  <cp:lastPrinted>2013-09-18T10:46:22Z</cp:lastPrinted>
  <dcterms:created xsi:type="dcterms:W3CDTF">2013-08-24T10:19:50Z</dcterms:created>
  <dcterms:modified xsi:type="dcterms:W3CDTF">2017-09-15T09:59:03Z</dcterms:modified>
</cp:coreProperties>
</file>